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570" yWindow="900" windowWidth="24675" windowHeight="11790" activeTab="1"/>
  </bookViews>
  <sheets>
    <sheet name="Depth" sheetId="1" r:id="rId1"/>
    <sheet name="EC" sheetId="2" r:id="rId2"/>
  </sheets>
  <calcPr calcId="125725"/>
</workbook>
</file>

<file path=xl/calcChain.xml><?xml version="1.0" encoding="utf-8"?>
<calcChain xmlns="http://schemas.openxmlformats.org/spreadsheetml/2006/main">
  <c r="U37" i="2"/>
  <c r="T37"/>
  <c r="S37"/>
  <c r="R37"/>
  <c r="U27"/>
  <c r="T27"/>
  <c r="S27"/>
  <c r="R27"/>
  <c r="P27"/>
  <c r="O27"/>
  <c r="N27"/>
  <c r="M27"/>
  <c r="K27"/>
  <c r="J27"/>
  <c r="I27"/>
  <c r="H27"/>
  <c r="F27"/>
  <c r="E27"/>
  <c r="D27"/>
  <c r="C27"/>
  <c r="T26"/>
  <c r="S26"/>
  <c r="R26"/>
  <c r="P26"/>
  <c r="O26"/>
  <c r="N26"/>
  <c r="M26"/>
  <c r="K26"/>
  <c r="J26"/>
  <c r="I26"/>
  <c r="H26"/>
  <c r="P24"/>
  <c r="O24"/>
  <c r="N24"/>
  <c r="M24"/>
  <c r="K24"/>
  <c r="J24"/>
  <c r="I24"/>
  <c r="H24"/>
  <c r="F24"/>
  <c r="E24"/>
  <c r="D24"/>
  <c r="C24"/>
  <c r="K22"/>
  <c r="J22"/>
  <c r="I22"/>
  <c r="H22"/>
  <c r="F22"/>
  <c r="E22"/>
  <c r="D22"/>
  <c r="C22"/>
  <c r="U21"/>
  <c r="T21"/>
  <c r="S21"/>
  <c r="R21"/>
  <c r="P21"/>
  <c r="O21"/>
  <c r="N21"/>
  <c r="M21"/>
  <c r="K21"/>
  <c r="J21"/>
  <c r="I21"/>
  <c r="H21"/>
  <c r="F21"/>
  <c r="E21"/>
  <c r="D21"/>
  <c r="C21"/>
  <c r="F20"/>
  <c r="E20"/>
  <c r="D20"/>
  <c r="C20"/>
  <c r="U19"/>
  <c r="T19"/>
  <c r="S19"/>
  <c r="R19"/>
  <c r="P19"/>
  <c r="O19"/>
  <c r="N19"/>
  <c r="M19"/>
  <c r="K19"/>
  <c r="J19"/>
  <c r="I19"/>
  <c r="H19"/>
  <c r="F19"/>
  <c r="E19"/>
  <c r="D19"/>
  <c r="C19"/>
  <c r="U17"/>
  <c r="T17"/>
  <c r="S17"/>
  <c r="R17"/>
  <c r="U16"/>
  <c r="T16"/>
  <c r="S16"/>
  <c r="R16"/>
  <c r="P16"/>
  <c r="O16"/>
  <c r="N16"/>
  <c r="M16"/>
  <c r="F16"/>
  <c r="E16"/>
  <c r="D16"/>
  <c r="C16"/>
  <c r="P14"/>
  <c r="O14"/>
  <c r="N14"/>
  <c r="M14"/>
  <c r="K14"/>
  <c r="J14"/>
  <c r="I14"/>
  <c r="H14"/>
  <c r="F14"/>
  <c r="E14"/>
  <c r="D14"/>
  <c r="C14"/>
  <c r="U13"/>
  <c r="T13"/>
  <c r="S13"/>
  <c r="R13"/>
  <c r="U12"/>
  <c r="T12"/>
  <c r="S12"/>
  <c r="R12"/>
  <c r="U11"/>
  <c r="T11"/>
  <c r="S11"/>
  <c r="R11"/>
  <c r="P11"/>
  <c r="O11"/>
  <c r="N11"/>
  <c r="M11"/>
  <c r="K11"/>
  <c r="J11"/>
  <c r="I11"/>
  <c r="H11"/>
  <c r="F11"/>
  <c r="E11"/>
  <c r="D11"/>
  <c r="C11"/>
  <c r="U9"/>
  <c r="T9"/>
  <c r="S9"/>
  <c r="R9"/>
  <c r="P9"/>
  <c r="O9"/>
  <c r="N9"/>
  <c r="M9"/>
  <c r="K9"/>
  <c r="J9"/>
  <c r="I9"/>
  <c r="H9"/>
  <c r="F8"/>
  <c r="E8"/>
  <c r="D8"/>
  <c r="C8"/>
  <c r="U7"/>
  <c r="T7"/>
  <c r="S7"/>
  <c r="R7"/>
  <c r="P7"/>
  <c r="O7"/>
  <c r="N7"/>
  <c r="M7"/>
  <c r="K7"/>
  <c r="J7"/>
  <c r="I7"/>
  <c r="H7"/>
  <c r="F7"/>
  <c r="E7"/>
  <c r="D7"/>
  <c r="C7"/>
  <c r="U6"/>
  <c r="T6"/>
  <c r="S6"/>
  <c r="R6"/>
  <c r="P6"/>
  <c r="O6"/>
  <c r="N6"/>
  <c r="M6"/>
  <c r="K6"/>
  <c r="J6"/>
  <c r="I6"/>
  <c r="H6"/>
  <c r="F6"/>
  <c r="E6"/>
  <c r="D6"/>
  <c r="C6"/>
  <c r="Y61"/>
  <c r="C6" i="1"/>
</calcChain>
</file>

<file path=xl/sharedStrings.xml><?xml version="1.0" encoding="utf-8"?>
<sst xmlns="http://schemas.openxmlformats.org/spreadsheetml/2006/main" count="1147" uniqueCount="64">
  <si>
    <t>Average</t>
  </si>
  <si>
    <t>Max</t>
  </si>
  <si>
    <t>Min</t>
  </si>
  <si>
    <t>Std</t>
  </si>
  <si>
    <t>DS1</t>
  </si>
  <si>
    <t>DS2</t>
  </si>
  <si>
    <t>DS3</t>
  </si>
  <si>
    <t>DS8</t>
  </si>
  <si>
    <t>DS9</t>
  </si>
  <si>
    <t>DS10</t>
  </si>
  <si>
    <t>DS11</t>
  </si>
  <si>
    <t>DS12</t>
  </si>
  <si>
    <t>Well ID</t>
  </si>
  <si>
    <t>No Data</t>
  </si>
  <si>
    <t>DS13</t>
  </si>
  <si>
    <t>DS14</t>
  </si>
  <si>
    <t>DS15</t>
  </si>
  <si>
    <t>DS16</t>
  </si>
  <si>
    <t>Start Date</t>
  </si>
  <si>
    <t>End Date</t>
  </si>
  <si>
    <t>Wells</t>
  </si>
  <si>
    <t>-</t>
  </si>
  <si>
    <t>N</t>
  </si>
  <si>
    <t>Dry</t>
  </si>
  <si>
    <t>Dry/Plowed</t>
  </si>
  <si>
    <t>Plowed</t>
  </si>
  <si>
    <t>Dry/Plowed*</t>
  </si>
  <si>
    <t>Plowed****</t>
  </si>
  <si>
    <t>Note:</t>
  </si>
  <si>
    <t>* Dry/Plowed means data was not collected because some wells had no water and others were plowed over.</t>
  </si>
  <si>
    <t xml:space="preserve">**** Plowed means no data was collected because all wells were plowed over. </t>
  </si>
  <si>
    <t>Dry **</t>
  </si>
  <si>
    <t xml:space="preserve">** Dry means no data was collected because all wells had no water in them. </t>
  </si>
  <si>
    <t>*** No Data means wells did not yet exist at this location, so no data is available.</t>
  </si>
  <si>
    <t>Well Depth Statistics (m)</t>
  </si>
  <si>
    <t xml:space="preserve">** Dry means no data was collected because all wells contained no water. </t>
  </si>
  <si>
    <t>* Dry/Plowed means data was not collected because some wells contained no water and others were plowed over by farming operations.</t>
  </si>
  <si>
    <t>DS5A</t>
  </si>
  <si>
    <t>DS5B</t>
  </si>
  <si>
    <t>DS18A</t>
  </si>
  <si>
    <t>DS18B</t>
  </si>
  <si>
    <t>DS18C</t>
  </si>
  <si>
    <t>DS18D</t>
  </si>
  <si>
    <t>DS19A</t>
  </si>
  <si>
    <t>DS19B</t>
  </si>
  <si>
    <t>DS19C</t>
  </si>
  <si>
    <t>DS19D</t>
  </si>
  <si>
    <t>DS19M</t>
  </si>
  <si>
    <t>DS4C</t>
  </si>
  <si>
    <t>DS6A</t>
  </si>
  <si>
    <t>DS6B</t>
  </si>
  <si>
    <t>No Data ***</t>
  </si>
  <si>
    <r>
      <t>EC Statistics (d</t>
    </r>
    <r>
      <rPr>
        <sz val="11"/>
        <color theme="1"/>
        <rFont val="Calibri"/>
        <family val="2"/>
      </rPr>
      <t>S/m)</t>
    </r>
  </si>
  <si>
    <t>DS6Ba</t>
  </si>
  <si>
    <t>DS4A1</t>
  </si>
  <si>
    <t>DS17A</t>
  </si>
  <si>
    <t>DS7s</t>
  </si>
  <si>
    <t>DS22</t>
  </si>
  <si>
    <t>DS7</t>
  </si>
  <si>
    <t>Not Irrigated</t>
  </si>
  <si>
    <t>Not Irrigated****</t>
  </si>
  <si>
    <t>Plowed*****</t>
  </si>
  <si>
    <t xml:space="preserve">**** Not Irrigated means the field has well data but was not irrigated by the owner. </t>
  </si>
  <si>
    <t xml:space="preserve">***** Plowed means no data was collected because all wells were plowed over by farming operations.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</si>
</sst>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m/d/yyyy;@"/>
    <numFmt numFmtId="166" formatCode="0.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/>
    <xf numFmtId="0" fontId="0" fillId="0" borderId="8" xfId="0" applyFont="1" applyBorder="1" applyAlignment="1"/>
    <xf numFmtId="0" fontId="0" fillId="0" borderId="12" xfId="0" applyFont="1" applyBorder="1"/>
    <xf numFmtId="0" fontId="0" fillId="3" borderId="10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5" borderId="11" xfId="0" applyFont="1" applyFill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14" fontId="0" fillId="0" borderId="6" xfId="0" applyNumberFormat="1" applyFon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Font="1" applyBorder="1"/>
    <xf numFmtId="0" fontId="0" fillId="0" borderId="0" xfId="0" applyBorder="1"/>
    <xf numFmtId="0" fontId="0" fillId="3" borderId="13" xfId="0" applyFont="1" applyFill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5" borderId="14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2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5" xfId="0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0" fontId="0" fillId="5" borderId="2" xfId="0" applyFont="1" applyFill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3" borderId="10" xfId="0" applyFill="1" applyBorder="1" applyAlignment="1">
      <alignment horizontal="center"/>
    </xf>
    <xf numFmtId="1" fontId="0" fillId="0" borderId="6" xfId="0" applyNumberFormat="1" applyFont="1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0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9" xfId="0" applyFill="1" applyBorder="1"/>
    <xf numFmtId="0" fontId="0" fillId="0" borderId="19" xfId="0" applyBorder="1" applyAlignment="1">
      <alignment horizontal="center"/>
    </xf>
    <xf numFmtId="0" fontId="0" fillId="0" borderId="20" xfId="0" applyFont="1" applyBorder="1"/>
    <xf numFmtId="14" fontId="1" fillId="0" borderId="7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4" borderId="14" xfId="0" applyFont="1" applyFill="1" applyBorder="1" applyAlignment="1">
      <alignment horizontal="center"/>
    </xf>
    <xf numFmtId="0" fontId="0" fillId="4" borderId="15" xfId="0" applyFont="1" applyFill="1" applyBorder="1" applyAlignment="1">
      <alignment horizontal="center"/>
    </xf>
    <xf numFmtId="0" fontId="0" fillId="4" borderId="10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1" fontId="0" fillId="0" borderId="2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E98"/>
  <sheetViews>
    <sheetView topLeftCell="A34" zoomScale="80" zoomScaleNormal="80" workbookViewId="0">
      <selection activeCell="L27" sqref="L27"/>
    </sheetView>
  </sheetViews>
  <sheetFormatPr defaultColWidth="12.7109375" defaultRowHeight="15"/>
  <cols>
    <col min="3" max="3" width="18" customWidth="1"/>
  </cols>
  <sheetData>
    <row r="1" spans="1:2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21">
      <c r="A2" s="91" t="s">
        <v>34</v>
      </c>
      <c r="B2" s="92"/>
      <c r="C2" s="93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21">
      <c r="A3" s="35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21" ht="15.75" thickBot="1">
      <c r="A4" s="10"/>
      <c r="B4" s="88">
        <v>2005</v>
      </c>
      <c r="C4" s="89"/>
      <c r="D4" s="89"/>
      <c r="E4" s="89"/>
      <c r="F4" s="90"/>
      <c r="G4" s="88">
        <v>2006</v>
      </c>
      <c r="H4" s="89"/>
      <c r="I4" s="89"/>
      <c r="J4" s="89"/>
      <c r="K4" s="90"/>
      <c r="L4" s="88">
        <v>2007</v>
      </c>
      <c r="M4" s="89"/>
      <c r="N4" s="89"/>
      <c r="O4" s="89"/>
      <c r="P4" s="90"/>
      <c r="Q4" s="88">
        <v>2008</v>
      </c>
      <c r="R4" s="89"/>
      <c r="S4" s="89"/>
      <c r="T4" s="89"/>
      <c r="U4" s="90"/>
    </row>
    <row r="5" spans="1:21">
      <c r="A5" s="64" t="s">
        <v>12</v>
      </c>
      <c r="B5" s="11" t="s">
        <v>22</v>
      </c>
      <c r="C5" s="11" t="s">
        <v>0</v>
      </c>
      <c r="D5" s="12" t="s">
        <v>1</v>
      </c>
      <c r="E5" s="12" t="s">
        <v>2</v>
      </c>
      <c r="F5" s="12" t="s">
        <v>3</v>
      </c>
      <c r="G5" s="34" t="s">
        <v>22</v>
      </c>
      <c r="H5" s="12" t="s">
        <v>0</v>
      </c>
      <c r="I5" s="12" t="s">
        <v>1</v>
      </c>
      <c r="J5" s="12" t="s">
        <v>2</v>
      </c>
      <c r="K5" s="12" t="s">
        <v>3</v>
      </c>
      <c r="L5" s="34" t="s">
        <v>22</v>
      </c>
      <c r="M5" s="12" t="s">
        <v>0</v>
      </c>
      <c r="N5" s="12" t="s">
        <v>1</v>
      </c>
      <c r="O5" s="12" t="s">
        <v>2</v>
      </c>
      <c r="P5" s="12" t="s">
        <v>3</v>
      </c>
      <c r="Q5" s="34" t="s">
        <v>22</v>
      </c>
      <c r="R5" s="12" t="s">
        <v>0</v>
      </c>
      <c r="S5" s="12" t="s">
        <v>1</v>
      </c>
      <c r="T5" s="12" t="s">
        <v>2</v>
      </c>
      <c r="U5" s="12" t="s">
        <v>3</v>
      </c>
    </row>
    <row r="6" spans="1:21">
      <c r="A6" s="65" t="s">
        <v>4</v>
      </c>
      <c r="B6" s="63">
        <v>27</v>
      </c>
      <c r="C6" s="45">
        <f>(25.3495356348673)*0.3048</f>
        <v>7.7265384615075536</v>
      </c>
      <c r="D6" s="38">
        <v>8.6999999999652005</v>
      </c>
      <c r="E6" s="38">
        <v>5.3399999999786401</v>
      </c>
      <c r="F6" s="39">
        <v>0.62550054030575342</v>
      </c>
      <c r="G6" s="49">
        <v>28</v>
      </c>
      <c r="H6" s="45">
        <v>7.7274999999690905</v>
      </c>
      <c r="I6" s="40">
        <v>8.9999999999640004</v>
      </c>
      <c r="J6" s="40">
        <v>5.6499999999774007</v>
      </c>
      <c r="K6" s="39">
        <v>0.76315786088477644</v>
      </c>
      <c r="L6" s="49">
        <v>23</v>
      </c>
      <c r="M6" s="40">
        <v>7.2784313725199059</v>
      </c>
      <c r="N6" s="40">
        <v>8.2599999999669613</v>
      </c>
      <c r="O6" s="40">
        <v>5.3499999999785999</v>
      </c>
      <c r="P6" s="39">
        <v>0.55214994812544727</v>
      </c>
      <c r="Q6" s="49">
        <v>24</v>
      </c>
      <c r="R6" s="40">
        <v>8.314285714252458</v>
      </c>
      <c r="S6" s="40">
        <v>9.8099999999607626</v>
      </c>
      <c r="T6" s="40">
        <v>7.4099999999703616</v>
      </c>
      <c r="U6" s="39">
        <v>0.62816142460290891</v>
      </c>
    </row>
    <row r="7" spans="1:21">
      <c r="A7" s="65" t="s">
        <v>5</v>
      </c>
      <c r="B7" s="2">
        <v>30</v>
      </c>
      <c r="C7" s="40">
        <v>7.9932051281731562</v>
      </c>
      <c r="D7" s="40">
        <v>9.4499999999622002</v>
      </c>
      <c r="E7" s="40">
        <v>6.3399999999746406</v>
      </c>
      <c r="F7" s="41">
        <v>0.98938132299484505</v>
      </c>
      <c r="G7" s="49">
        <v>19</v>
      </c>
      <c r="H7" s="40">
        <v>7.7202777777468965</v>
      </c>
      <c r="I7" s="40">
        <v>9.4999999999620002</v>
      </c>
      <c r="J7" s="40">
        <v>6.9599999999721609</v>
      </c>
      <c r="K7" s="41">
        <v>0.95239218664670522</v>
      </c>
      <c r="L7" s="49">
        <v>57</v>
      </c>
      <c r="M7" s="40">
        <v>8.1878070175111084</v>
      </c>
      <c r="N7" s="40">
        <v>9.9799999999600821</v>
      </c>
      <c r="O7" s="40">
        <v>6.6999999999732003</v>
      </c>
      <c r="P7" s="41">
        <v>0.73873276903682605</v>
      </c>
      <c r="Q7" s="49">
        <v>33</v>
      </c>
      <c r="R7" s="40">
        <v>8.0238095237774285</v>
      </c>
      <c r="S7" s="40">
        <v>9.3899999999624413</v>
      </c>
      <c r="T7" s="40">
        <v>6.6999999999732003</v>
      </c>
      <c r="U7" s="41">
        <v>0.94477510551076571</v>
      </c>
    </row>
    <row r="8" spans="1:21">
      <c r="A8" s="65" t="s">
        <v>6</v>
      </c>
      <c r="B8" s="2">
        <v>10</v>
      </c>
      <c r="C8" s="40">
        <v>5.3969999999784131</v>
      </c>
      <c r="D8" s="40">
        <v>5.9099999999763604</v>
      </c>
      <c r="E8" s="40">
        <v>4.9499999999802009</v>
      </c>
      <c r="F8" s="41">
        <v>0.32883802159053938</v>
      </c>
      <c r="G8" s="49">
        <v>0</v>
      </c>
      <c r="H8" s="42" t="s">
        <v>26</v>
      </c>
      <c r="I8" s="42" t="s">
        <v>24</v>
      </c>
      <c r="J8" s="42" t="s">
        <v>24</v>
      </c>
      <c r="K8" s="43" t="s">
        <v>24</v>
      </c>
      <c r="L8" s="50">
        <v>0</v>
      </c>
      <c r="M8" s="42" t="s">
        <v>31</v>
      </c>
      <c r="N8" s="42" t="s">
        <v>23</v>
      </c>
      <c r="O8" s="42" t="s">
        <v>23</v>
      </c>
      <c r="P8" s="43" t="s">
        <v>23</v>
      </c>
      <c r="Q8" s="50">
        <v>0</v>
      </c>
      <c r="R8" s="42" t="s">
        <v>51</v>
      </c>
      <c r="S8" s="40" t="s">
        <v>13</v>
      </c>
      <c r="T8" s="40" t="s">
        <v>13</v>
      </c>
      <c r="U8" s="41" t="s">
        <v>13</v>
      </c>
    </row>
    <row r="9" spans="1:21">
      <c r="A9" s="67" t="s">
        <v>54</v>
      </c>
      <c r="B9" s="2">
        <v>0</v>
      </c>
      <c r="C9" s="42" t="s">
        <v>60</v>
      </c>
      <c r="D9" s="42" t="s">
        <v>59</v>
      </c>
      <c r="E9" s="42" t="s">
        <v>59</v>
      </c>
      <c r="F9" s="43" t="s">
        <v>59</v>
      </c>
      <c r="G9" s="50">
        <v>22</v>
      </c>
      <c r="H9" s="40">
        <v>7.3179999999707297</v>
      </c>
      <c r="I9" s="40">
        <v>7.689999999969241</v>
      </c>
      <c r="J9" s="40">
        <v>7.1099999999715608</v>
      </c>
      <c r="K9" s="41">
        <v>0.13190577773172021</v>
      </c>
      <c r="L9" s="49">
        <v>22</v>
      </c>
      <c r="M9" s="40">
        <v>6.2940624999748245</v>
      </c>
      <c r="N9" s="40">
        <v>7.3099999999707608</v>
      </c>
      <c r="O9" s="40">
        <v>5.7999999999767997</v>
      </c>
      <c r="P9" s="41">
        <v>0.50079849660031628</v>
      </c>
      <c r="Q9" s="49">
        <v>12</v>
      </c>
      <c r="R9" s="40">
        <v>5.8799999999764809</v>
      </c>
      <c r="S9" s="40">
        <v>6.7499999999730012</v>
      </c>
      <c r="T9" s="40">
        <v>5.1199999999795214</v>
      </c>
      <c r="U9" s="41">
        <v>0.40324441794619753</v>
      </c>
    </row>
    <row r="10" spans="1:21">
      <c r="A10" s="65" t="s">
        <v>48</v>
      </c>
      <c r="B10" s="2">
        <v>0</v>
      </c>
      <c r="C10" s="42" t="s">
        <v>59</v>
      </c>
      <c r="D10" s="42" t="s">
        <v>59</v>
      </c>
      <c r="E10" s="42" t="s">
        <v>59</v>
      </c>
      <c r="F10" s="43" t="s">
        <v>59</v>
      </c>
      <c r="G10" s="50">
        <v>0</v>
      </c>
      <c r="H10" s="42" t="s">
        <v>59</v>
      </c>
      <c r="I10" s="42" t="s">
        <v>59</v>
      </c>
      <c r="J10" s="42" t="s">
        <v>59</v>
      </c>
      <c r="K10" s="43" t="s">
        <v>59</v>
      </c>
      <c r="L10" s="49">
        <v>0</v>
      </c>
      <c r="M10" s="42" t="s">
        <v>59</v>
      </c>
      <c r="N10" s="42" t="s">
        <v>59</v>
      </c>
      <c r="O10" s="42" t="s">
        <v>59</v>
      </c>
      <c r="P10" s="43" t="s">
        <v>59</v>
      </c>
      <c r="Q10" s="49">
        <v>0</v>
      </c>
      <c r="R10" s="40" t="s">
        <v>23</v>
      </c>
      <c r="S10" s="40" t="s">
        <v>23</v>
      </c>
      <c r="T10" s="40" t="s">
        <v>23</v>
      </c>
      <c r="U10" s="41" t="s">
        <v>23</v>
      </c>
    </row>
    <row r="11" spans="1:21">
      <c r="A11" s="65" t="s">
        <v>37</v>
      </c>
      <c r="B11" s="2">
        <v>39</v>
      </c>
      <c r="C11" s="42">
        <v>3.197692307679517</v>
      </c>
      <c r="D11" s="42">
        <v>5.2899999999788401</v>
      </c>
      <c r="E11" s="42">
        <v>2.3199999999907202</v>
      </c>
      <c r="F11" s="41">
        <v>0.51452436665772183</v>
      </c>
      <c r="G11" s="49">
        <v>47</v>
      </c>
      <c r="H11" s="42">
        <v>4.5012691489181655</v>
      </c>
      <c r="I11" s="42">
        <v>6.1699999999753201</v>
      </c>
      <c r="J11" s="42">
        <v>3.5899999999856407</v>
      </c>
      <c r="K11" s="41">
        <v>0.49977131232529293</v>
      </c>
      <c r="L11" s="49">
        <v>51</v>
      </c>
      <c r="M11" s="42">
        <v>2.963313725478343</v>
      </c>
      <c r="N11" s="42">
        <v>4.1359999999834569</v>
      </c>
      <c r="O11" s="42">
        <v>1.6169999999935321</v>
      </c>
      <c r="P11" s="41">
        <v>0.68539470351330001</v>
      </c>
      <c r="Q11" s="49">
        <v>30</v>
      </c>
      <c r="R11" s="42">
        <v>3.6823333333186037</v>
      </c>
      <c r="S11" s="42">
        <v>4.55999999998176</v>
      </c>
      <c r="T11" s="42">
        <v>2.8399999999886401</v>
      </c>
      <c r="U11" s="43">
        <v>0.59127963705222708</v>
      </c>
    </row>
    <row r="12" spans="1:21">
      <c r="A12" s="65" t="s">
        <v>38</v>
      </c>
      <c r="B12" s="2">
        <v>0</v>
      </c>
      <c r="C12" s="42" t="s">
        <v>59</v>
      </c>
      <c r="D12" s="42" t="s">
        <v>59</v>
      </c>
      <c r="E12" s="42" t="s">
        <v>59</v>
      </c>
      <c r="F12" s="43" t="s">
        <v>59</v>
      </c>
      <c r="G12" s="70">
        <v>0</v>
      </c>
      <c r="H12" s="42" t="s">
        <v>59</v>
      </c>
      <c r="I12" s="42" t="s">
        <v>59</v>
      </c>
      <c r="J12" s="42" t="s">
        <v>59</v>
      </c>
      <c r="K12" s="43" t="s">
        <v>59</v>
      </c>
      <c r="L12" s="70">
        <v>0</v>
      </c>
      <c r="M12" s="42" t="s">
        <v>59</v>
      </c>
      <c r="N12" s="42" t="s">
        <v>59</v>
      </c>
      <c r="O12" s="42" t="s">
        <v>59</v>
      </c>
      <c r="P12" s="43" t="s">
        <v>59</v>
      </c>
      <c r="Q12" s="70">
        <v>15</v>
      </c>
      <c r="R12" s="40">
        <v>3.3986666666530727</v>
      </c>
      <c r="S12" s="40">
        <v>5.729999999977081</v>
      </c>
      <c r="T12" s="40">
        <v>2.6999999999892004</v>
      </c>
      <c r="U12" s="41">
        <v>0.91262468162829302</v>
      </c>
    </row>
    <row r="13" spans="1:21">
      <c r="A13" s="65" t="s">
        <v>49</v>
      </c>
      <c r="B13" s="2">
        <v>0</v>
      </c>
      <c r="C13" s="42" t="s">
        <v>59</v>
      </c>
      <c r="D13" s="42" t="s">
        <v>59</v>
      </c>
      <c r="E13" s="42" t="s">
        <v>59</v>
      </c>
      <c r="F13" s="43" t="s">
        <v>59</v>
      </c>
      <c r="G13" s="70">
        <v>0</v>
      </c>
      <c r="H13" s="42" t="s">
        <v>59</v>
      </c>
      <c r="I13" s="42" t="s">
        <v>59</v>
      </c>
      <c r="J13" s="42" t="s">
        <v>59</v>
      </c>
      <c r="K13" s="43" t="s">
        <v>59</v>
      </c>
      <c r="L13" s="70">
        <v>0</v>
      </c>
      <c r="M13" s="42" t="s">
        <v>59</v>
      </c>
      <c r="N13" s="42" t="s">
        <v>59</v>
      </c>
      <c r="O13" s="42" t="s">
        <v>59</v>
      </c>
      <c r="P13" s="43" t="s">
        <v>59</v>
      </c>
      <c r="Q13" s="49">
        <v>33</v>
      </c>
      <c r="R13" s="40">
        <v>3.5453333333191517</v>
      </c>
      <c r="S13" s="40">
        <v>5.729999999977081</v>
      </c>
      <c r="T13" s="40">
        <v>2.6999999999892004</v>
      </c>
      <c r="U13" s="41">
        <v>0.73580157146124137</v>
      </c>
    </row>
    <row r="14" spans="1:21">
      <c r="A14" s="67" t="s">
        <v>50</v>
      </c>
      <c r="B14" s="2">
        <v>25</v>
      </c>
      <c r="C14" s="40">
        <v>3.08192307691075</v>
      </c>
      <c r="D14" s="40">
        <v>5.2899999999788401</v>
      </c>
      <c r="E14" s="40">
        <v>2.3199999999907202</v>
      </c>
      <c r="F14" s="41">
        <v>0.61131777061007841</v>
      </c>
      <c r="G14" s="49">
        <v>25</v>
      </c>
      <c r="H14" s="40">
        <v>4.4849642856963463</v>
      </c>
      <c r="I14" s="40">
        <v>6.1699999999753201</v>
      </c>
      <c r="J14" s="40">
        <v>3.4899999999860407</v>
      </c>
      <c r="K14" s="41">
        <v>0.6667833150005491</v>
      </c>
      <c r="L14" s="49">
        <v>32</v>
      </c>
      <c r="M14" s="40">
        <v>2.8477812499886097</v>
      </c>
      <c r="N14" s="40">
        <v>3.8599999999845602</v>
      </c>
      <c r="O14" s="40">
        <v>1.7689999999929245</v>
      </c>
      <c r="P14" s="41">
        <v>0.53167639529347155</v>
      </c>
      <c r="Q14" s="49">
        <v>0</v>
      </c>
      <c r="R14" s="42" t="s">
        <v>13</v>
      </c>
      <c r="S14" s="42" t="s">
        <v>13</v>
      </c>
      <c r="T14" s="42" t="s">
        <v>13</v>
      </c>
      <c r="U14" s="43" t="s">
        <v>13</v>
      </c>
    </row>
    <row r="15" spans="1:21">
      <c r="A15" s="67" t="s">
        <v>53</v>
      </c>
      <c r="B15" s="2">
        <v>0</v>
      </c>
      <c r="C15" s="42" t="s">
        <v>59</v>
      </c>
      <c r="D15" s="42" t="s">
        <v>59</v>
      </c>
      <c r="E15" s="42" t="s">
        <v>59</v>
      </c>
      <c r="F15" s="43" t="s">
        <v>59</v>
      </c>
      <c r="G15" s="49">
        <v>0</v>
      </c>
      <c r="H15" s="42" t="s">
        <v>59</v>
      </c>
      <c r="I15" s="42" t="s">
        <v>59</v>
      </c>
      <c r="J15" s="42" t="s">
        <v>59</v>
      </c>
      <c r="K15" s="43" t="s">
        <v>59</v>
      </c>
      <c r="L15" s="49">
        <v>0</v>
      </c>
      <c r="M15" s="42" t="s">
        <v>59</v>
      </c>
      <c r="N15" s="42" t="s">
        <v>59</v>
      </c>
      <c r="O15" s="42" t="s">
        <v>59</v>
      </c>
      <c r="P15" s="43" t="s">
        <v>59</v>
      </c>
      <c r="Q15" s="49">
        <v>0</v>
      </c>
      <c r="R15" s="42" t="s">
        <v>23</v>
      </c>
      <c r="S15" s="42" t="s">
        <v>23</v>
      </c>
      <c r="T15" s="42" t="s">
        <v>23</v>
      </c>
      <c r="U15" s="43" t="s">
        <v>23</v>
      </c>
    </row>
    <row r="16" spans="1:21">
      <c r="A16" s="65" t="s">
        <v>58</v>
      </c>
      <c r="B16" s="2">
        <v>48</v>
      </c>
      <c r="C16" s="40">
        <v>1.7213541666597811</v>
      </c>
      <c r="D16" s="40">
        <v>2.6399999999894401</v>
      </c>
      <c r="E16" s="40">
        <v>0.79999999999680016</v>
      </c>
      <c r="F16" s="41">
        <v>0.4911891124970707</v>
      </c>
      <c r="G16" s="49">
        <v>0</v>
      </c>
      <c r="H16" s="40" t="s">
        <v>59</v>
      </c>
      <c r="I16" s="40" t="s">
        <v>59</v>
      </c>
      <c r="J16" s="40" t="s">
        <v>59</v>
      </c>
      <c r="K16" s="41" t="s">
        <v>59</v>
      </c>
      <c r="L16" s="49">
        <v>52</v>
      </c>
      <c r="M16" s="40">
        <v>1.6787499999932853</v>
      </c>
      <c r="N16" s="40">
        <v>2.698999999989204</v>
      </c>
      <c r="O16" s="40">
        <v>0.69799999999720808</v>
      </c>
      <c r="P16" s="41">
        <v>0.4480415717301176</v>
      </c>
      <c r="Q16" s="49">
        <v>0</v>
      </c>
      <c r="R16" s="40" t="s">
        <v>59</v>
      </c>
      <c r="S16" s="40" t="s">
        <v>59</v>
      </c>
      <c r="T16" s="40" t="s">
        <v>59</v>
      </c>
      <c r="U16" s="41" t="s">
        <v>59</v>
      </c>
    </row>
    <row r="17" spans="1:26">
      <c r="A17" s="67" t="s">
        <v>56</v>
      </c>
      <c r="B17" s="2">
        <v>0</v>
      </c>
      <c r="C17" s="42" t="s">
        <v>59</v>
      </c>
      <c r="D17" s="42" t="s">
        <v>59</v>
      </c>
      <c r="E17" s="42" t="s">
        <v>59</v>
      </c>
      <c r="F17" s="43" t="s">
        <v>59</v>
      </c>
      <c r="G17" s="49">
        <v>0</v>
      </c>
      <c r="H17" s="42" t="s">
        <v>59</v>
      </c>
      <c r="I17" s="42" t="s">
        <v>59</v>
      </c>
      <c r="J17" s="42" t="s">
        <v>59</v>
      </c>
      <c r="K17" s="43" t="s">
        <v>59</v>
      </c>
      <c r="L17" s="49">
        <v>0</v>
      </c>
      <c r="M17" s="42" t="s">
        <v>59</v>
      </c>
      <c r="N17" s="42" t="s">
        <v>59</v>
      </c>
      <c r="O17" s="42" t="s">
        <v>59</v>
      </c>
      <c r="P17" s="43" t="s">
        <v>59</v>
      </c>
      <c r="Q17" s="49">
        <v>30</v>
      </c>
      <c r="R17" s="40">
        <v>2.2829999999908681</v>
      </c>
      <c r="S17" s="40">
        <v>3.4699999999861202</v>
      </c>
      <c r="T17" s="40">
        <v>1.3999999999944002</v>
      </c>
      <c r="U17" s="41">
        <v>0.60206054226201067</v>
      </c>
      <c r="Z17">
        <v>0.30480000000000002</v>
      </c>
    </row>
    <row r="18" spans="1:26">
      <c r="A18" s="65" t="s">
        <v>7</v>
      </c>
      <c r="B18" s="2">
        <v>0</v>
      </c>
      <c r="C18" s="42" t="s">
        <v>23</v>
      </c>
      <c r="D18" s="42" t="s">
        <v>23</v>
      </c>
      <c r="E18" s="42" t="s">
        <v>23</v>
      </c>
      <c r="F18" s="43" t="s">
        <v>23</v>
      </c>
      <c r="G18" s="50">
        <v>0</v>
      </c>
      <c r="H18" s="42" t="s">
        <v>59</v>
      </c>
      <c r="I18" s="42" t="s">
        <v>59</v>
      </c>
      <c r="J18" s="42" t="s">
        <v>59</v>
      </c>
      <c r="K18" s="43" t="s">
        <v>59</v>
      </c>
      <c r="L18" s="50">
        <v>0</v>
      </c>
      <c r="M18" s="42" t="s">
        <v>59</v>
      </c>
      <c r="N18" s="42" t="s">
        <v>59</v>
      </c>
      <c r="O18" s="42" t="s">
        <v>59</v>
      </c>
      <c r="P18" s="43" t="s">
        <v>59</v>
      </c>
      <c r="Q18" s="50">
        <v>0</v>
      </c>
      <c r="R18" s="42" t="s">
        <v>59</v>
      </c>
      <c r="S18" s="42" t="s">
        <v>59</v>
      </c>
      <c r="T18" s="42" t="s">
        <v>59</v>
      </c>
      <c r="U18" s="43" t="s">
        <v>59</v>
      </c>
    </row>
    <row r="19" spans="1:26">
      <c r="A19" s="65" t="s">
        <v>8</v>
      </c>
      <c r="B19" s="2">
        <v>13</v>
      </c>
      <c r="C19" s="40">
        <v>1.5969230769166893</v>
      </c>
      <c r="D19" s="40">
        <v>3.6299999999854804</v>
      </c>
      <c r="E19" s="40">
        <v>0.68999999999724004</v>
      </c>
      <c r="F19" s="41">
        <v>0.91089136394876435</v>
      </c>
      <c r="G19" s="49">
        <v>15</v>
      </c>
      <c r="H19" s="42" t="s">
        <v>59</v>
      </c>
      <c r="I19" s="42" t="s">
        <v>59</v>
      </c>
      <c r="J19" s="42" t="s">
        <v>59</v>
      </c>
      <c r="K19" s="43" t="s">
        <v>59</v>
      </c>
      <c r="L19" s="49">
        <v>17</v>
      </c>
      <c r="M19" s="40">
        <v>1.2461764705832505</v>
      </c>
      <c r="N19" s="40">
        <v>1.6899999999932402</v>
      </c>
      <c r="O19" s="40">
        <v>0.33499999999865998</v>
      </c>
      <c r="P19" s="41">
        <v>0.44517387548033344</v>
      </c>
      <c r="Q19" s="49">
        <v>14</v>
      </c>
      <c r="R19" s="40">
        <v>0.92428571428201722</v>
      </c>
      <c r="S19" s="40">
        <v>1.3399999999946404</v>
      </c>
      <c r="T19" s="40">
        <v>0.39999999999840008</v>
      </c>
      <c r="U19" s="41">
        <v>0.29140810098211412</v>
      </c>
    </row>
    <row r="20" spans="1:26">
      <c r="A20" s="65" t="s">
        <v>9</v>
      </c>
      <c r="B20" s="2">
        <v>19</v>
      </c>
      <c r="C20" s="40">
        <v>4.7649999999809403</v>
      </c>
      <c r="D20" s="40">
        <v>5.8299999999766809</v>
      </c>
      <c r="E20" s="40">
        <v>3.4899999999860407</v>
      </c>
      <c r="F20" s="41">
        <v>0.81652558752459337</v>
      </c>
      <c r="G20" s="49">
        <v>0</v>
      </c>
      <c r="H20" s="42" t="s">
        <v>59</v>
      </c>
      <c r="I20" s="42" t="s">
        <v>59</v>
      </c>
      <c r="J20" s="42" t="s">
        <v>59</v>
      </c>
      <c r="K20" s="43" t="s">
        <v>59</v>
      </c>
      <c r="L20" s="50">
        <v>0</v>
      </c>
      <c r="M20" s="46" t="s">
        <v>61</v>
      </c>
      <c r="N20" s="46" t="s">
        <v>25</v>
      </c>
      <c r="O20" s="46" t="s">
        <v>25</v>
      </c>
      <c r="P20" s="43" t="s">
        <v>25</v>
      </c>
      <c r="Q20" s="50">
        <v>0</v>
      </c>
      <c r="R20" s="42" t="s">
        <v>59</v>
      </c>
      <c r="S20" s="42" t="s">
        <v>59</v>
      </c>
      <c r="T20" s="42" t="s">
        <v>59</v>
      </c>
      <c r="U20" s="43" t="s">
        <v>59</v>
      </c>
    </row>
    <row r="21" spans="1:26">
      <c r="A21" s="65" t="s">
        <v>10</v>
      </c>
      <c r="B21" s="2">
        <v>51</v>
      </c>
      <c r="C21" s="40">
        <v>1.6992628205060238</v>
      </c>
      <c r="D21" s="40">
        <v>3.5699999999857202</v>
      </c>
      <c r="E21" s="40">
        <v>9.999999999960002E-2</v>
      </c>
      <c r="F21" s="41">
        <v>0.67186103838394207</v>
      </c>
      <c r="G21" s="49">
        <v>64</v>
      </c>
      <c r="H21" s="42" t="s">
        <v>59</v>
      </c>
      <c r="I21" s="42" t="s">
        <v>59</v>
      </c>
      <c r="J21" s="42" t="s">
        <v>59</v>
      </c>
      <c r="K21" s="43" t="s">
        <v>59</v>
      </c>
      <c r="L21" s="49">
        <v>60</v>
      </c>
      <c r="M21" s="42" t="s">
        <v>59</v>
      </c>
      <c r="N21" s="42" t="s">
        <v>59</v>
      </c>
      <c r="O21" s="42" t="s">
        <v>59</v>
      </c>
      <c r="P21" s="43" t="s">
        <v>59</v>
      </c>
      <c r="Q21" s="49">
        <v>41</v>
      </c>
      <c r="R21" s="40">
        <v>2.2249999999911001</v>
      </c>
      <c r="S21" s="40">
        <v>3.8999999999844004</v>
      </c>
      <c r="T21" s="40">
        <v>1.3099999999947602</v>
      </c>
      <c r="U21" s="41">
        <v>0.69032150515827995</v>
      </c>
    </row>
    <row r="22" spans="1:26">
      <c r="A22" s="65" t="s">
        <v>11</v>
      </c>
      <c r="B22" s="2">
        <v>23</v>
      </c>
      <c r="C22" s="40">
        <v>5.0647916666464079</v>
      </c>
      <c r="D22" s="40">
        <v>6.0599999999757594</v>
      </c>
      <c r="E22" s="40">
        <v>3.9799999999840803</v>
      </c>
      <c r="F22" s="41">
        <v>0.71877647742660833</v>
      </c>
      <c r="G22" s="49">
        <v>24</v>
      </c>
      <c r="H22" s="40">
        <v>4.498042857124867</v>
      </c>
      <c r="I22" s="40">
        <v>5.6099999999775614</v>
      </c>
      <c r="J22" s="40">
        <v>3.5199999999859206</v>
      </c>
      <c r="K22" s="41">
        <v>0.79168396856443779</v>
      </c>
      <c r="L22" s="49">
        <v>0</v>
      </c>
      <c r="M22" s="42" t="s">
        <v>59</v>
      </c>
      <c r="N22" s="42" t="s">
        <v>59</v>
      </c>
      <c r="O22" s="42" t="s">
        <v>59</v>
      </c>
      <c r="P22" s="43" t="s">
        <v>59</v>
      </c>
      <c r="Q22" s="50">
        <v>0</v>
      </c>
      <c r="R22" s="42" t="s">
        <v>59</v>
      </c>
      <c r="S22" s="42" t="s">
        <v>59</v>
      </c>
      <c r="T22" s="42" t="s">
        <v>59</v>
      </c>
      <c r="U22" s="43" t="s">
        <v>59</v>
      </c>
    </row>
    <row r="23" spans="1:26">
      <c r="A23" s="65" t="s">
        <v>14</v>
      </c>
      <c r="B23" s="2">
        <v>0</v>
      </c>
      <c r="C23" s="42" t="s">
        <v>23</v>
      </c>
      <c r="D23" s="42" t="s">
        <v>23</v>
      </c>
      <c r="E23" s="42" t="s">
        <v>23</v>
      </c>
      <c r="F23" s="43" t="s">
        <v>23</v>
      </c>
      <c r="G23" s="49">
        <v>0</v>
      </c>
      <c r="H23" s="42" t="s">
        <v>59</v>
      </c>
      <c r="I23" s="42" t="s">
        <v>59</v>
      </c>
      <c r="J23" s="42" t="s">
        <v>59</v>
      </c>
      <c r="K23" s="43" t="s">
        <v>59</v>
      </c>
      <c r="L23" s="50">
        <v>0</v>
      </c>
      <c r="M23" s="46" t="s">
        <v>24</v>
      </c>
      <c r="N23" s="46" t="s">
        <v>24</v>
      </c>
      <c r="O23" s="46" t="s">
        <v>24</v>
      </c>
      <c r="P23" s="47" t="s">
        <v>24</v>
      </c>
      <c r="Q23" s="50">
        <v>0</v>
      </c>
      <c r="R23" s="42" t="s">
        <v>59</v>
      </c>
      <c r="S23" s="42" t="s">
        <v>59</v>
      </c>
      <c r="T23" s="42" t="s">
        <v>59</v>
      </c>
      <c r="U23" s="43" t="s">
        <v>59</v>
      </c>
    </row>
    <row r="24" spans="1:26">
      <c r="A24" s="65" t="s">
        <v>15</v>
      </c>
      <c r="B24" s="2">
        <v>4</v>
      </c>
      <c r="C24" s="40">
        <v>4.7024999999811907</v>
      </c>
      <c r="D24" s="40">
        <v>4.8099999999807599</v>
      </c>
      <c r="E24" s="40">
        <v>4.5799999999816805</v>
      </c>
      <c r="F24" s="41">
        <v>0.11470977871667219</v>
      </c>
      <c r="G24" s="49">
        <v>12</v>
      </c>
      <c r="H24" s="42" t="s">
        <v>59</v>
      </c>
      <c r="I24" s="42" t="s">
        <v>59</v>
      </c>
      <c r="J24" s="42" t="s">
        <v>59</v>
      </c>
      <c r="K24" s="43" t="s">
        <v>59</v>
      </c>
      <c r="L24" s="49">
        <v>16</v>
      </c>
      <c r="M24" s="44">
        <v>1.1643749999953426</v>
      </c>
      <c r="N24" s="44">
        <v>2.0799999999916801</v>
      </c>
      <c r="O24" s="44">
        <v>0.5399999999978401</v>
      </c>
      <c r="P24" s="41">
        <v>0.44884991923625045</v>
      </c>
      <c r="Q24" s="49">
        <v>0</v>
      </c>
      <c r="R24" s="42" t="s">
        <v>59</v>
      </c>
      <c r="S24" s="42" t="s">
        <v>59</v>
      </c>
      <c r="T24" s="42" t="s">
        <v>59</v>
      </c>
      <c r="U24" s="43" t="s">
        <v>59</v>
      </c>
    </row>
    <row r="25" spans="1:26">
      <c r="A25" s="65" t="s">
        <v>16</v>
      </c>
      <c r="B25" s="2">
        <v>0</v>
      </c>
      <c r="C25" s="42" t="s">
        <v>13</v>
      </c>
      <c r="D25" s="42" t="s">
        <v>13</v>
      </c>
      <c r="E25" s="42" t="s">
        <v>13</v>
      </c>
      <c r="F25" s="43" t="s">
        <v>13</v>
      </c>
      <c r="G25" s="49">
        <v>0</v>
      </c>
      <c r="H25" s="45" t="s">
        <v>23</v>
      </c>
      <c r="I25" s="45" t="s">
        <v>23</v>
      </c>
      <c r="J25" s="45" t="s">
        <v>23</v>
      </c>
      <c r="K25" s="43" t="s">
        <v>23</v>
      </c>
      <c r="L25" s="50">
        <v>0</v>
      </c>
      <c r="M25" s="45" t="s">
        <v>23</v>
      </c>
      <c r="N25" s="45" t="s">
        <v>23</v>
      </c>
      <c r="O25" s="45" t="s">
        <v>23</v>
      </c>
      <c r="P25" s="43" t="s">
        <v>23</v>
      </c>
      <c r="Q25" s="50">
        <v>0</v>
      </c>
      <c r="R25" s="45" t="s">
        <v>23</v>
      </c>
      <c r="S25" s="45" t="s">
        <v>23</v>
      </c>
      <c r="T25" s="45" t="s">
        <v>23</v>
      </c>
      <c r="U25" s="43" t="s">
        <v>23</v>
      </c>
    </row>
    <row r="26" spans="1:26">
      <c r="A26" s="65" t="s">
        <v>17</v>
      </c>
      <c r="B26" s="2">
        <v>0</v>
      </c>
      <c r="C26" s="42" t="s">
        <v>13</v>
      </c>
      <c r="D26" s="42" t="s">
        <v>13</v>
      </c>
      <c r="E26" s="42" t="s">
        <v>13</v>
      </c>
      <c r="F26" s="43" t="s">
        <v>13</v>
      </c>
      <c r="G26" s="49">
        <v>9</v>
      </c>
      <c r="H26" s="44">
        <v>7.3399999999706402</v>
      </c>
      <c r="I26" s="44">
        <v>7.4299999999702813</v>
      </c>
      <c r="J26" s="44">
        <v>7.1499999999714019</v>
      </c>
      <c r="K26" s="41">
        <v>8.831760866297228E-2</v>
      </c>
      <c r="L26" s="49">
        <v>9</v>
      </c>
      <c r="M26" s="44">
        <v>6.8268749999726932</v>
      </c>
      <c r="N26" s="44">
        <v>7.3099999999707608</v>
      </c>
      <c r="O26" s="44">
        <v>4.9499999999802009</v>
      </c>
      <c r="P26" s="41">
        <v>0.69916219704291238</v>
      </c>
      <c r="Q26" s="49">
        <v>1</v>
      </c>
      <c r="R26" s="44">
        <v>6.7499999999730012</v>
      </c>
      <c r="S26" s="44">
        <v>6.7499999999730012</v>
      </c>
      <c r="T26" s="44">
        <v>6.7499999999730012</v>
      </c>
      <c r="U26" s="43" t="s">
        <v>21</v>
      </c>
    </row>
    <row r="27" spans="1:26">
      <c r="A27" s="67" t="s">
        <v>55</v>
      </c>
      <c r="B27" s="1">
        <v>39</v>
      </c>
      <c r="C27" s="42" t="s">
        <v>59</v>
      </c>
      <c r="D27" s="42" t="s">
        <v>59</v>
      </c>
      <c r="E27" s="42" t="s">
        <v>59</v>
      </c>
      <c r="F27" s="43" t="s">
        <v>59</v>
      </c>
      <c r="G27" s="49">
        <v>47</v>
      </c>
      <c r="H27" s="42" t="s">
        <v>59</v>
      </c>
      <c r="I27" s="42" t="s">
        <v>59</v>
      </c>
      <c r="J27" s="42" t="s">
        <v>59</v>
      </c>
      <c r="K27" s="43" t="s">
        <v>59</v>
      </c>
      <c r="L27" s="49">
        <v>51</v>
      </c>
      <c r="M27" s="44">
        <v>3.0217499999879145</v>
      </c>
      <c r="N27" s="44">
        <v>4.1359999999834569</v>
      </c>
      <c r="O27" s="44">
        <v>1.6169999999935321</v>
      </c>
      <c r="P27" s="41">
        <v>0.68539470351330001</v>
      </c>
      <c r="Q27" s="49">
        <v>45</v>
      </c>
      <c r="R27" s="44">
        <v>3.5877777777634265</v>
      </c>
      <c r="S27" s="44">
        <v>5.729999999977081</v>
      </c>
      <c r="T27" s="44">
        <v>2.6999999999892004</v>
      </c>
      <c r="U27" s="41">
        <v>0.71674418185159694</v>
      </c>
    </row>
    <row r="28" spans="1:26">
      <c r="A28" s="67" t="s">
        <v>39</v>
      </c>
      <c r="B28" s="2">
        <v>0</v>
      </c>
      <c r="C28" s="2" t="s">
        <v>13</v>
      </c>
      <c r="D28" s="2" t="s">
        <v>13</v>
      </c>
      <c r="E28" s="2" t="s">
        <v>13</v>
      </c>
      <c r="F28" s="4" t="s">
        <v>13</v>
      </c>
      <c r="G28" s="51">
        <v>0</v>
      </c>
      <c r="H28" s="1" t="s">
        <v>13</v>
      </c>
      <c r="I28" s="1" t="s">
        <v>13</v>
      </c>
      <c r="J28" s="1" t="s">
        <v>13</v>
      </c>
      <c r="K28" s="4" t="s">
        <v>13</v>
      </c>
      <c r="L28" s="51">
        <v>0</v>
      </c>
      <c r="M28" s="1" t="s">
        <v>13</v>
      </c>
      <c r="N28" s="1" t="s">
        <v>13</v>
      </c>
      <c r="O28" s="1" t="s">
        <v>13</v>
      </c>
      <c r="P28" s="4" t="s">
        <v>13</v>
      </c>
      <c r="Q28" s="51">
        <v>0</v>
      </c>
      <c r="R28" s="1" t="s">
        <v>23</v>
      </c>
      <c r="S28" s="1" t="s">
        <v>23</v>
      </c>
      <c r="T28" s="1" t="s">
        <v>23</v>
      </c>
      <c r="U28" s="4" t="s">
        <v>23</v>
      </c>
    </row>
    <row r="29" spans="1:26">
      <c r="A29" s="67" t="s">
        <v>40</v>
      </c>
      <c r="B29" s="2">
        <v>0</v>
      </c>
      <c r="C29" s="2" t="s">
        <v>13</v>
      </c>
      <c r="D29" s="2" t="s">
        <v>13</v>
      </c>
      <c r="E29" s="2" t="s">
        <v>13</v>
      </c>
      <c r="F29" s="4" t="s">
        <v>13</v>
      </c>
      <c r="G29" s="51">
        <v>0</v>
      </c>
      <c r="H29" s="1" t="s">
        <v>13</v>
      </c>
      <c r="I29" s="1" t="s">
        <v>13</v>
      </c>
      <c r="J29" s="1" t="s">
        <v>13</v>
      </c>
      <c r="K29" s="4" t="s">
        <v>13</v>
      </c>
      <c r="L29" s="51">
        <v>0</v>
      </c>
      <c r="M29" s="1" t="s">
        <v>13</v>
      </c>
      <c r="N29" s="1" t="s">
        <v>13</v>
      </c>
      <c r="O29" s="1" t="s">
        <v>13</v>
      </c>
      <c r="P29" s="4" t="s">
        <v>13</v>
      </c>
      <c r="Q29" s="51">
        <v>0</v>
      </c>
      <c r="R29" s="1" t="s">
        <v>23</v>
      </c>
      <c r="S29" s="1" t="s">
        <v>23</v>
      </c>
      <c r="T29" s="1" t="s">
        <v>23</v>
      </c>
      <c r="U29" s="4" t="s">
        <v>23</v>
      </c>
    </row>
    <row r="30" spans="1:26">
      <c r="A30" s="67" t="s">
        <v>41</v>
      </c>
      <c r="B30" s="2">
        <v>0</v>
      </c>
      <c r="C30" s="2" t="s">
        <v>13</v>
      </c>
      <c r="D30" s="2" t="s">
        <v>13</v>
      </c>
      <c r="E30" s="2" t="s">
        <v>13</v>
      </c>
      <c r="F30" s="4" t="s">
        <v>13</v>
      </c>
      <c r="G30" s="51">
        <v>0</v>
      </c>
      <c r="H30" s="1" t="s">
        <v>13</v>
      </c>
      <c r="I30" s="1" t="s">
        <v>13</v>
      </c>
      <c r="J30" s="1" t="s">
        <v>13</v>
      </c>
      <c r="K30" s="4" t="s">
        <v>13</v>
      </c>
      <c r="L30" s="51">
        <v>0</v>
      </c>
      <c r="M30" s="1" t="s">
        <v>13</v>
      </c>
      <c r="N30" s="1" t="s">
        <v>13</v>
      </c>
      <c r="O30" s="1" t="s">
        <v>13</v>
      </c>
      <c r="P30" s="4" t="s">
        <v>13</v>
      </c>
      <c r="Q30" s="51">
        <v>0</v>
      </c>
      <c r="R30" s="1" t="s">
        <v>23</v>
      </c>
      <c r="S30" s="1" t="s">
        <v>23</v>
      </c>
      <c r="T30" s="1" t="s">
        <v>23</v>
      </c>
      <c r="U30" s="4" t="s">
        <v>23</v>
      </c>
    </row>
    <row r="31" spans="1:26">
      <c r="A31" s="67" t="s">
        <v>42</v>
      </c>
      <c r="B31" s="2">
        <v>0</v>
      </c>
      <c r="C31" s="2" t="s">
        <v>13</v>
      </c>
      <c r="D31" s="2" t="s">
        <v>13</v>
      </c>
      <c r="E31" s="2" t="s">
        <v>13</v>
      </c>
      <c r="F31" s="4" t="s">
        <v>13</v>
      </c>
      <c r="G31" s="51">
        <v>0</v>
      </c>
      <c r="H31" s="1" t="s">
        <v>13</v>
      </c>
      <c r="I31" s="1" t="s">
        <v>13</v>
      </c>
      <c r="J31" s="1" t="s">
        <v>13</v>
      </c>
      <c r="K31" s="4" t="s">
        <v>13</v>
      </c>
      <c r="L31" s="51">
        <v>0</v>
      </c>
      <c r="M31" s="1" t="s">
        <v>13</v>
      </c>
      <c r="N31" s="1" t="s">
        <v>13</v>
      </c>
      <c r="O31" s="1" t="s">
        <v>13</v>
      </c>
      <c r="P31" s="4" t="s">
        <v>13</v>
      </c>
      <c r="Q31" s="51">
        <v>0</v>
      </c>
      <c r="R31" s="1" t="s">
        <v>23</v>
      </c>
      <c r="S31" s="1" t="s">
        <v>23</v>
      </c>
      <c r="T31" s="1" t="s">
        <v>23</v>
      </c>
      <c r="U31" s="4" t="s">
        <v>23</v>
      </c>
    </row>
    <row r="32" spans="1:26">
      <c r="A32" s="67" t="s">
        <v>43</v>
      </c>
      <c r="B32" s="2">
        <v>0</v>
      </c>
      <c r="C32" s="2" t="s">
        <v>13</v>
      </c>
      <c r="D32" s="2" t="s">
        <v>13</v>
      </c>
      <c r="E32" s="2" t="s">
        <v>13</v>
      </c>
      <c r="F32" s="4" t="s">
        <v>13</v>
      </c>
      <c r="G32" s="51">
        <v>0</v>
      </c>
      <c r="H32" s="1" t="s">
        <v>13</v>
      </c>
      <c r="I32" s="1" t="s">
        <v>13</v>
      </c>
      <c r="J32" s="1" t="s">
        <v>13</v>
      </c>
      <c r="K32" s="4" t="s">
        <v>13</v>
      </c>
      <c r="L32" s="51">
        <v>0</v>
      </c>
      <c r="M32" s="1" t="s">
        <v>13</v>
      </c>
      <c r="N32" s="1" t="s">
        <v>13</v>
      </c>
      <c r="O32" s="1" t="s">
        <v>13</v>
      </c>
      <c r="P32" s="4" t="s">
        <v>13</v>
      </c>
      <c r="Q32" s="51">
        <v>0</v>
      </c>
      <c r="R32" s="1" t="s">
        <v>23</v>
      </c>
      <c r="S32" s="1" t="s">
        <v>23</v>
      </c>
      <c r="T32" s="1" t="s">
        <v>23</v>
      </c>
      <c r="U32" s="4" t="s">
        <v>23</v>
      </c>
    </row>
    <row r="33" spans="1:31">
      <c r="A33" s="67" t="s">
        <v>44</v>
      </c>
      <c r="B33" s="2">
        <v>0</v>
      </c>
      <c r="C33" s="2" t="s">
        <v>13</v>
      </c>
      <c r="D33" s="2" t="s">
        <v>13</v>
      </c>
      <c r="E33" s="2" t="s">
        <v>13</v>
      </c>
      <c r="F33" s="4" t="s">
        <v>13</v>
      </c>
      <c r="G33" s="51">
        <v>0</v>
      </c>
      <c r="H33" s="1" t="s">
        <v>13</v>
      </c>
      <c r="I33" s="1" t="s">
        <v>13</v>
      </c>
      <c r="J33" s="1" t="s">
        <v>13</v>
      </c>
      <c r="K33" s="4" t="s">
        <v>13</v>
      </c>
      <c r="L33" s="51">
        <v>0</v>
      </c>
      <c r="M33" s="1" t="s">
        <v>13</v>
      </c>
      <c r="N33" s="1" t="s">
        <v>13</v>
      </c>
      <c r="O33" s="1" t="s">
        <v>13</v>
      </c>
      <c r="P33" s="4" t="s">
        <v>13</v>
      </c>
      <c r="Q33" s="51">
        <v>0</v>
      </c>
      <c r="R33" s="1" t="s">
        <v>23</v>
      </c>
      <c r="S33" s="1" t="s">
        <v>23</v>
      </c>
      <c r="T33" s="1" t="s">
        <v>23</v>
      </c>
      <c r="U33" s="4" t="s">
        <v>23</v>
      </c>
    </row>
    <row r="34" spans="1:31">
      <c r="A34" s="67" t="s">
        <v>45</v>
      </c>
      <c r="B34" s="2">
        <v>0</v>
      </c>
      <c r="C34" s="2" t="s">
        <v>13</v>
      </c>
      <c r="D34" s="2" t="s">
        <v>13</v>
      </c>
      <c r="E34" s="2" t="s">
        <v>13</v>
      </c>
      <c r="F34" s="4" t="s">
        <v>13</v>
      </c>
      <c r="G34" s="51">
        <v>0</v>
      </c>
      <c r="H34" s="1" t="s">
        <v>13</v>
      </c>
      <c r="I34" s="1" t="s">
        <v>13</v>
      </c>
      <c r="J34" s="1" t="s">
        <v>13</v>
      </c>
      <c r="K34" s="4" t="s">
        <v>13</v>
      </c>
      <c r="L34" s="51">
        <v>0</v>
      </c>
      <c r="M34" s="1" t="s">
        <v>13</v>
      </c>
      <c r="N34" s="1" t="s">
        <v>13</v>
      </c>
      <c r="O34" s="1" t="s">
        <v>13</v>
      </c>
      <c r="P34" s="4" t="s">
        <v>13</v>
      </c>
      <c r="Q34" s="51">
        <v>0</v>
      </c>
      <c r="R34" s="1" t="s">
        <v>23</v>
      </c>
      <c r="S34" s="1" t="s">
        <v>23</v>
      </c>
      <c r="T34" s="1" t="s">
        <v>23</v>
      </c>
      <c r="U34" s="4" t="s">
        <v>23</v>
      </c>
    </row>
    <row r="35" spans="1:31">
      <c r="A35" s="67" t="s">
        <v>46</v>
      </c>
      <c r="B35" s="2">
        <v>0</v>
      </c>
      <c r="C35" s="2" t="s">
        <v>13</v>
      </c>
      <c r="D35" s="2" t="s">
        <v>13</v>
      </c>
      <c r="E35" s="2" t="s">
        <v>13</v>
      </c>
      <c r="F35" s="4" t="s">
        <v>13</v>
      </c>
      <c r="G35" s="51">
        <v>0</v>
      </c>
      <c r="H35" s="1" t="s">
        <v>13</v>
      </c>
      <c r="I35" s="1" t="s">
        <v>13</v>
      </c>
      <c r="J35" s="1" t="s">
        <v>13</v>
      </c>
      <c r="K35" s="4" t="s">
        <v>13</v>
      </c>
      <c r="L35" s="51">
        <v>0</v>
      </c>
      <c r="M35" s="1" t="s">
        <v>13</v>
      </c>
      <c r="N35" s="1" t="s">
        <v>13</v>
      </c>
      <c r="O35" s="1" t="s">
        <v>13</v>
      </c>
      <c r="P35" s="4" t="s">
        <v>13</v>
      </c>
      <c r="Q35" s="51">
        <v>0</v>
      </c>
      <c r="R35" s="1" t="s">
        <v>23</v>
      </c>
      <c r="S35" s="1" t="s">
        <v>23</v>
      </c>
      <c r="T35" s="1" t="s">
        <v>23</v>
      </c>
      <c r="U35" s="4" t="s">
        <v>23</v>
      </c>
    </row>
    <row r="36" spans="1:31">
      <c r="A36" s="67" t="s">
        <v>47</v>
      </c>
      <c r="B36" s="2">
        <v>0</v>
      </c>
      <c r="C36" s="2" t="s">
        <v>13</v>
      </c>
      <c r="D36" s="2" t="s">
        <v>13</v>
      </c>
      <c r="E36" s="2" t="s">
        <v>13</v>
      </c>
      <c r="F36" s="4" t="s">
        <v>13</v>
      </c>
      <c r="G36" s="51">
        <v>0</v>
      </c>
      <c r="H36" s="1" t="s">
        <v>13</v>
      </c>
      <c r="I36" s="1" t="s">
        <v>13</v>
      </c>
      <c r="J36" s="1" t="s">
        <v>13</v>
      </c>
      <c r="K36" s="4" t="s">
        <v>13</v>
      </c>
      <c r="L36" s="51">
        <v>0</v>
      </c>
      <c r="M36" s="1" t="s">
        <v>13</v>
      </c>
      <c r="N36" s="1" t="s">
        <v>13</v>
      </c>
      <c r="O36" s="1" t="s">
        <v>13</v>
      </c>
      <c r="P36" s="4" t="s">
        <v>13</v>
      </c>
      <c r="Q36" s="51">
        <v>0</v>
      </c>
      <c r="R36" s="1" t="s">
        <v>23</v>
      </c>
      <c r="S36" s="1" t="s">
        <v>23</v>
      </c>
      <c r="T36" s="1" t="s">
        <v>23</v>
      </c>
      <c r="U36" s="4" t="s">
        <v>23</v>
      </c>
    </row>
    <row r="37" spans="1:31" ht="15.75" thickBot="1">
      <c r="A37" s="68" t="s">
        <v>57</v>
      </c>
      <c r="B37" s="82">
        <v>0</v>
      </c>
      <c r="C37" s="71" t="s">
        <v>59</v>
      </c>
      <c r="D37" s="71" t="s">
        <v>59</v>
      </c>
      <c r="E37" s="71" t="s">
        <v>59</v>
      </c>
      <c r="F37" s="72" t="s">
        <v>59</v>
      </c>
      <c r="G37" s="52">
        <v>0</v>
      </c>
      <c r="H37" s="71" t="s">
        <v>59</v>
      </c>
      <c r="I37" s="71" t="s">
        <v>59</v>
      </c>
      <c r="J37" s="71" t="s">
        <v>59</v>
      </c>
      <c r="K37" s="72" t="s">
        <v>59</v>
      </c>
      <c r="L37" s="52">
        <v>0</v>
      </c>
      <c r="M37" s="71" t="s">
        <v>59</v>
      </c>
      <c r="N37" s="71" t="s">
        <v>59</v>
      </c>
      <c r="O37" s="71" t="s">
        <v>59</v>
      </c>
      <c r="P37" s="72" t="s">
        <v>59</v>
      </c>
      <c r="Q37" s="52">
        <v>22</v>
      </c>
      <c r="R37" s="71">
        <v>2.0836363636280293</v>
      </c>
      <c r="S37" s="27">
        <v>2.66999999998932</v>
      </c>
      <c r="T37" s="27">
        <v>1.4499999999941999</v>
      </c>
      <c r="U37" s="72">
        <v>0.41403410780136463</v>
      </c>
    </row>
    <row r="39" spans="1:31" ht="15.75" thickBot="1">
      <c r="A39" s="8"/>
      <c r="B39" s="94">
        <v>2005</v>
      </c>
      <c r="C39" s="95"/>
      <c r="D39" s="96"/>
      <c r="E39" s="32"/>
      <c r="F39" s="94">
        <v>2006</v>
      </c>
      <c r="G39" s="95"/>
      <c r="H39" s="96"/>
      <c r="I39" s="32"/>
      <c r="J39" s="94">
        <v>2007</v>
      </c>
      <c r="K39" s="95"/>
      <c r="L39" s="96"/>
      <c r="M39" s="32"/>
      <c r="N39" s="94">
        <v>2008</v>
      </c>
      <c r="O39" s="95"/>
      <c r="P39" s="96"/>
      <c r="Q39" s="8"/>
      <c r="R39" s="53" t="s">
        <v>28</v>
      </c>
      <c r="S39" s="73" t="s">
        <v>36</v>
      </c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9"/>
    </row>
    <row r="40" spans="1:31">
      <c r="A40" s="64" t="s">
        <v>12</v>
      </c>
      <c r="B40" s="66" t="s">
        <v>18</v>
      </c>
      <c r="C40" s="18" t="s">
        <v>19</v>
      </c>
      <c r="D40" s="18" t="s">
        <v>20</v>
      </c>
      <c r="E40" s="32"/>
      <c r="F40" s="18" t="s">
        <v>18</v>
      </c>
      <c r="G40" s="18" t="s">
        <v>19</v>
      </c>
      <c r="H40" s="18" t="s">
        <v>20</v>
      </c>
      <c r="I40" s="32"/>
      <c r="J40" s="18" t="s">
        <v>18</v>
      </c>
      <c r="K40" s="18" t="s">
        <v>19</v>
      </c>
      <c r="L40" s="18" t="s">
        <v>20</v>
      </c>
      <c r="M40" s="32"/>
      <c r="N40" s="18" t="s">
        <v>18</v>
      </c>
      <c r="O40" s="18" t="s">
        <v>19</v>
      </c>
      <c r="P40" s="18" t="s">
        <v>20</v>
      </c>
      <c r="Q40" s="8"/>
      <c r="S40" s="75" t="s">
        <v>35</v>
      </c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80"/>
    </row>
    <row r="41" spans="1:31">
      <c r="A41" s="65" t="s">
        <v>4</v>
      </c>
      <c r="B41" s="21">
        <v>38513</v>
      </c>
      <c r="C41" s="21">
        <v>38632</v>
      </c>
      <c r="D41" s="16">
        <v>4</v>
      </c>
      <c r="E41" s="32"/>
      <c r="F41" s="20">
        <v>38829</v>
      </c>
      <c r="G41" s="21">
        <v>39010</v>
      </c>
      <c r="H41" s="6">
        <v>4</v>
      </c>
      <c r="I41" s="32"/>
      <c r="J41" s="20">
        <v>39218</v>
      </c>
      <c r="K41" s="21">
        <v>39400</v>
      </c>
      <c r="L41" s="6">
        <v>4</v>
      </c>
      <c r="M41" s="32"/>
      <c r="N41" s="20">
        <v>39525</v>
      </c>
      <c r="O41" s="21">
        <v>39746</v>
      </c>
      <c r="P41" s="16">
        <v>4</v>
      </c>
      <c r="Q41" s="8"/>
      <c r="S41" s="75" t="s">
        <v>33</v>
      </c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80"/>
    </row>
    <row r="42" spans="1:31">
      <c r="A42" s="65" t="s">
        <v>5</v>
      </c>
      <c r="B42" s="23">
        <v>38513</v>
      </c>
      <c r="C42" s="23">
        <v>38632</v>
      </c>
      <c r="D42" s="14">
        <v>4</v>
      </c>
      <c r="E42" s="32"/>
      <c r="F42" s="24">
        <v>38829</v>
      </c>
      <c r="G42" s="25">
        <v>39010</v>
      </c>
      <c r="H42" s="14">
        <v>4</v>
      </c>
      <c r="I42" s="32"/>
      <c r="J42" s="24">
        <v>39161</v>
      </c>
      <c r="K42" s="25">
        <v>39400</v>
      </c>
      <c r="L42" s="26">
        <v>4</v>
      </c>
      <c r="M42" s="32"/>
      <c r="N42" s="24">
        <v>39525</v>
      </c>
      <c r="O42" s="25">
        <v>39746</v>
      </c>
      <c r="P42" s="26">
        <v>4</v>
      </c>
      <c r="Q42" s="8"/>
      <c r="S42" s="75" t="s">
        <v>62</v>
      </c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80"/>
    </row>
    <row r="43" spans="1:31">
      <c r="A43" s="65" t="s">
        <v>6</v>
      </c>
      <c r="B43" s="23">
        <v>38527</v>
      </c>
      <c r="C43" s="23">
        <v>38632</v>
      </c>
      <c r="D43" s="14">
        <v>2</v>
      </c>
      <c r="E43" s="32"/>
      <c r="F43" s="24">
        <v>38829</v>
      </c>
      <c r="G43" s="25">
        <v>39010</v>
      </c>
      <c r="H43" s="14">
        <v>2</v>
      </c>
      <c r="I43" s="32"/>
      <c r="J43" s="28">
        <v>39219</v>
      </c>
      <c r="K43" s="25">
        <v>39400</v>
      </c>
      <c r="L43" s="14">
        <v>2</v>
      </c>
      <c r="M43" s="13"/>
      <c r="N43" s="17" t="s">
        <v>13</v>
      </c>
      <c r="O43" s="13" t="s">
        <v>13</v>
      </c>
      <c r="P43" s="14">
        <v>0</v>
      </c>
      <c r="Q43" s="8"/>
      <c r="S43" s="77" t="s">
        <v>63</v>
      </c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81"/>
    </row>
    <row r="44" spans="1:31">
      <c r="A44" s="67" t="s">
        <v>54</v>
      </c>
      <c r="B44" s="2" t="s">
        <v>59</v>
      </c>
      <c r="C44" s="2" t="s">
        <v>59</v>
      </c>
      <c r="D44" s="14">
        <v>0</v>
      </c>
      <c r="E44" s="32"/>
      <c r="F44" s="22">
        <v>38829</v>
      </c>
      <c r="G44" s="25">
        <v>39010</v>
      </c>
      <c r="H44" s="14">
        <v>3</v>
      </c>
      <c r="I44" s="32"/>
      <c r="J44" s="22">
        <v>39189</v>
      </c>
      <c r="K44" s="25">
        <v>39372</v>
      </c>
      <c r="L44" s="14">
        <v>3</v>
      </c>
      <c r="M44" s="32"/>
      <c r="N44" s="22">
        <v>39525</v>
      </c>
      <c r="O44" s="25">
        <v>39746</v>
      </c>
      <c r="P44" s="14">
        <v>2</v>
      </c>
      <c r="Q44" s="8"/>
    </row>
    <row r="45" spans="1:31">
      <c r="A45" s="65" t="s">
        <v>48</v>
      </c>
      <c r="B45" s="2" t="s">
        <v>59</v>
      </c>
      <c r="C45" s="2" t="s">
        <v>59</v>
      </c>
      <c r="D45" s="14">
        <v>0</v>
      </c>
      <c r="E45" s="32"/>
      <c r="F45" s="5" t="s">
        <v>59</v>
      </c>
      <c r="G45" s="2" t="s">
        <v>59</v>
      </c>
      <c r="H45" s="14">
        <v>0</v>
      </c>
      <c r="I45" s="32"/>
      <c r="J45" s="5" t="s">
        <v>59</v>
      </c>
      <c r="K45" s="2" t="s">
        <v>59</v>
      </c>
      <c r="L45" s="14">
        <v>0</v>
      </c>
      <c r="M45" s="32"/>
      <c r="N45" s="22">
        <v>39525</v>
      </c>
      <c r="O45" s="25">
        <v>39746</v>
      </c>
      <c r="P45" s="14">
        <v>1</v>
      </c>
      <c r="Q45" s="8"/>
    </row>
    <row r="46" spans="1:31">
      <c r="A46" s="65" t="s">
        <v>37</v>
      </c>
      <c r="B46" s="23">
        <v>38513</v>
      </c>
      <c r="C46" s="25">
        <v>38632</v>
      </c>
      <c r="D46" s="14">
        <v>3</v>
      </c>
      <c r="E46" s="32"/>
      <c r="F46" s="22">
        <v>38829</v>
      </c>
      <c r="G46" s="25">
        <v>39010</v>
      </c>
      <c r="H46" s="14">
        <v>4</v>
      </c>
      <c r="I46" s="32"/>
      <c r="J46" s="22">
        <v>39161</v>
      </c>
      <c r="K46" s="25">
        <v>39371</v>
      </c>
      <c r="L46" s="14">
        <v>4</v>
      </c>
      <c r="M46" s="32"/>
      <c r="N46" s="22">
        <v>39525</v>
      </c>
      <c r="O46" s="25">
        <v>39746</v>
      </c>
      <c r="P46" s="14">
        <v>3</v>
      </c>
      <c r="Q46" s="8"/>
      <c r="S46" s="36"/>
    </row>
    <row r="47" spans="1:31">
      <c r="A47" s="65" t="s">
        <v>38</v>
      </c>
      <c r="B47" s="5" t="s">
        <v>59</v>
      </c>
      <c r="C47" s="2" t="s">
        <v>59</v>
      </c>
      <c r="D47" s="14">
        <v>0</v>
      </c>
      <c r="E47" s="32"/>
      <c r="F47" s="5" t="s">
        <v>59</v>
      </c>
      <c r="G47" s="2" t="s">
        <v>59</v>
      </c>
      <c r="H47" s="14">
        <v>0</v>
      </c>
      <c r="I47" s="32"/>
      <c r="J47" s="5" t="s">
        <v>59</v>
      </c>
      <c r="K47" s="2" t="s">
        <v>59</v>
      </c>
      <c r="L47" s="14">
        <v>0</v>
      </c>
      <c r="M47" s="32"/>
      <c r="N47" s="22">
        <v>39525</v>
      </c>
      <c r="O47" s="25">
        <v>39746</v>
      </c>
      <c r="P47" s="14">
        <v>1</v>
      </c>
      <c r="Q47" s="8"/>
      <c r="S47" s="36"/>
    </row>
    <row r="48" spans="1:31">
      <c r="A48" s="65" t="s">
        <v>49</v>
      </c>
      <c r="B48" s="5" t="s">
        <v>59</v>
      </c>
      <c r="C48" s="2" t="s">
        <v>59</v>
      </c>
      <c r="D48" s="14">
        <v>0</v>
      </c>
      <c r="E48" s="32"/>
      <c r="F48" s="5" t="s">
        <v>59</v>
      </c>
      <c r="G48" s="2" t="s">
        <v>59</v>
      </c>
      <c r="H48" s="14">
        <v>0</v>
      </c>
      <c r="I48" s="32"/>
      <c r="J48" s="5" t="s">
        <v>59</v>
      </c>
      <c r="K48" s="2" t="s">
        <v>59</v>
      </c>
      <c r="L48" s="14">
        <v>0</v>
      </c>
      <c r="M48" s="32"/>
      <c r="N48" s="22">
        <v>39525</v>
      </c>
      <c r="O48" s="25">
        <v>39746</v>
      </c>
      <c r="P48" s="14">
        <v>2</v>
      </c>
      <c r="Q48" s="8"/>
    </row>
    <row r="49" spans="1:17">
      <c r="A49" s="65" t="s">
        <v>50</v>
      </c>
      <c r="B49" s="22">
        <v>38513</v>
      </c>
      <c r="C49" s="25">
        <v>38632</v>
      </c>
      <c r="D49" s="14">
        <v>2</v>
      </c>
      <c r="E49" s="32"/>
      <c r="F49" s="22">
        <v>38829</v>
      </c>
      <c r="G49" s="25">
        <v>39010</v>
      </c>
      <c r="H49" s="14">
        <v>3</v>
      </c>
      <c r="I49" s="32"/>
      <c r="J49" s="22">
        <v>39161</v>
      </c>
      <c r="K49" s="25">
        <v>39371</v>
      </c>
      <c r="L49" s="14">
        <v>3</v>
      </c>
      <c r="M49" s="32"/>
      <c r="N49" s="5" t="s">
        <v>59</v>
      </c>
      <c r="O49" s="2" t="s">
        <v>59</v>
      </c>
      <c r="P49" s="14">
        <v>0</v>
      </c>
      <c r="Q49" s="8"/>
    </row>
    <row r="50" spans="1:17">
      <c r="A50" s="67" t="s">
        <v>53</v>
      </c>
      <c r="B50" s="2" t="s">
        <v>59</v>
      </c>
      <c r="C50" s="2" t="s">
        <v>59</v>
      </c>
      <c r="D50" s="14">
        <v>0</v>
      </c>
      <c r="E50" s="32"/>
      <c r="F50" s="5" t="s">
        <v>59</v>
      </c>
      <c r="G50" s="2" t="s">
        <v>59</v>
      </c>
      <c r="H50" s="14">
        <v>0</v>
      </c>
      <c r="I50" s="32"/>
      <c r="J50" s="5" t="s">
        <v>59</v>
      </c>
      <c r="K50" s="2" t="s">
        <v>59</v>
      </c>
      <c r="L50" s="14">
        <v>0</v>
      </c>
      <c r="M50" s="32"/>
      <c r="N50" s="22">
        <v>39525</v>
      </c>
      <c r="O50" s="25">
        <v>39746</v>
      </c>
      <c r="P50" s="14">
        <v>1</v>
      </c>
      <c r="Q50" s="8"/>
    </row>
    <row r="51" spans="1:17">
      <c r="A51" s="65" t="s">
        <v>58</v>
      </c>
      <c r="B51" s="23">
        <v>38513</v>
      </c>
      <c r="C51" s="25">
        <v>38632</v>
      </c>
      <c r="D51" s="3">
        <v>4</v>
      </c>
      <c r="E51" s="32"/>
      <c r="F51" s="5" t="s">
        <v>59</v>
      </c>
      <c r="G51" s="2" t="s">
        <v>59</v>
      </c>
      <c r="H51" s="14">
        <v>0</v>
      </c>
      <c r="I51" s="32"/>
      <c r="J51" s="22">
        <v>39161</v>
      </c>
      <c r="K51" s="25">
        <v>39375</v>
      </c>
      <c r="L51" s="14">
        <v>4</v>
      </c>
      <c r="M51" s="32"/>
      <c r="N51" s="5" t="s">
        <v>59</v>
      </c>
      <c r="O51" s="2" t="s">
        <v>59</v>
      </c>
      <c r="P51" s="14">
        <v>0</v>
      </c>
      <c r="Q51" s="8"/>
    </row>
    <row r="52" spans="1:17">
      <c r="A52" s="67" t="s">
        <v>56</v>
      </c>
      <c r="B52" s="2" t="s">
        <v>59</v>
      </c>
      <c r="C52" s="2" t="s">
        <v>59</v>
      </c>
      <c r="D52" s="14">
        <v>0</v>
      </c>
      <c r="E52" s="32"/>
      <c r="F52" s="5" t="s">
        <v>59</v>
      </c>
      <c r="G52" s="2" t="s">
        <v>59</v>
      </c>
      <c r="H52" s="14">
        <v>0</v>
      </c>
      <c r="I52" s="32"/>
      <c r="J52" s="5" t="s">
        <v>59</v>
      </c>
      <c r="K52" s="2" t="s">
        <v>59</v>
      </c>
      <c r="L52" s="14">
        <v>0</v>
      </c>
      <c r="M52" s="32"/>
      <c r="N52" s="22">
        <v>39617</v>
      </c>
      <c r="O52" s="25">
        <v>39746</v>
      </c>
      <c r="P52" s="14">
        <v>2</v>
      </c>
      <c r="Q52" s="8"/>
    </row>
    <row r="53" spans="1:17">
      <c r="A53" s="65" t="s">
        <v>7</v>
      </c>
      <c r="B53" s="23">
        <v>38540</v>
      </c>
      <c r="C53" s="23">
        <v>38632</v>
      </c>
      <c r="D53" s="14">
        <v>2</v>
      </c>
      <c r="E53" s="32"/>
      <c r="F53" s="5" t="s">
        <v>59</v>
      </c>
      <c r="G53" s="2" t="s">
        <v>59</v>
      </c>
      <c r="H53" s="14">
        <v>0</v>
      </c>
      <c r="I53" s="32"/>
      <c r="J53" s="5" t="s">
        <v>59</v>
      </c>
      <c r="K53" s="2" t="s">
        <v>59</v>
      </c>
      <c r="L53" s="14">
        <v>0</v>
      </c>
      <c r="M53" s="32"/>
      <c r="N53" s="22" t="s">
        <v>13</v>
      </c>
      <c r="O53" s="25" t="s">
        <v>13</v>
      </c>
      <c r="P53" s="14">
        <v>0</v>
      </c>
      <c r="Q53" s="8"/>
    </row>
    <row r="54" spans="1:17">
      <c r="A54" s="65" t="s">
        <v>8</v>
      </c>
      <c r="B54" s="23">
        <v>38513</v>
      </c>
      <c r="C54" s="23">
        <v>38632</v>
      </c>
      <c r="D54" s="14">
        <v>2</v>
      </c>
      <c r="E54" s="32"/>
      <c r="F54" s="5" t="s">
        <v>59</v>
      </c>
      <c r="G54" s="2" t="s">
        <v>59</v>
      </c>
      <c r="H54" s="14">
        <v>2</v>
      </c>
      <c r="I54" s="32"/>
      <c r="J54" s="22">
        <v>39161</v>
      </c>
      <c r="K54" s="25">
        <v>39375</v>
      </c>
      <c r="L54" s="14">
        <v>2</v>
      </c>
      <c r="M54" s="32"/>
      <c r="N54" s="22">
        <v>39526</v>
      </c>
      <c r="O54" s="25">
        <v>39746</v>
      </c>
      <c r="P54" s="14">
        <v>2</v>
      </c>
      <c r="Q54" s="8"/>
    </row>
    <row r="55" spans="1:17">
      <c r="A55" s="65" t="s">
        <v>9</v>
      </c>
      <c r="B55" s="23">
        <v>38527</v>
      </c>
      <c r="C55" s="23">
        <v>38632</v>
      </c>
      <c r="D55" s="14">
        <v>3</v>
      </c>
      <c r="E55" s="32"/>
      <c r="F55" s="22">
        <v>38829</v>
      </c>
      <c r="G55" s="25">
        <v>39010</v>
      </c>
      <c r="H55" s="14">
        <v>3</v>
      </c>
      <c r="I55" s="32"/>
      <c r="J55" s="22">
        <v>39161</v>
      </c>
      <c r="K55" s="25">
        <v>39375</v>
      </c>
      <c r="L55" s="14">
        <v>3</v>
      </c>
      <c r="M55" s="32"/>
      <c r="N55" s="17" t="s">
        <v>13</v>
      </c>
      <c r="O55" s="15" t="s">
        <v>13</v>
      </c>
      <c r="P55" s="14">
        <v>0</v>
      </c>
      <c r="Q55" s="8"/>
    </row>
    <row r="56" spans="1:17">
      <c r="A56" s="65" t="s">
        <v>10</v>
      </c>
      <c r="B56" s="23">
        <v>38513</v>
      </c>
      <c r="C56" s="23">
        <v>38632</v>
      </c>
      <c r="D56" s="14">
        <v>4</v>
      </c>
      <c r="E56" s="32"/>
      <c r="F56" s="5" t="s">
        <v>59</v>
      </c>
      <c r="G56" s="2" t="s">
        <v>59</v>
      </c>
      <c r="H56" s="14">
        <v>4</v>
      </c>
      <c r="I56" s="32"/>
      <c r="J56" s="5" t="s">
        <v>59</v>
      </c>
      <c r="K56" s="2" t="s">
        <v>59</v>
      </c>
      <c r="L56" s="14">
        <v>4</v>
      </c>
      <c r="M56" s="32"/>
      <c r="N56" s="22">
        <v>39526</v>
      </c>
      <c r="O56" s="25">
        <v>39746</v>
      </c>
      <c r="P56" s="14">
        <v>3</v>
      </c>
      <c r="Q56" s="8"/>
    </row>
    <row r="57" spans="1:17">
      <c r="A57" s="65" t="s">
        <v>11</v>
      </c>
      <c r="B57" s="23">
        <v>38513</v>
      </c>
      <c r="C57" s="23">
        <v>38632</v>
      </c>
      <c r="D57" s="14">
        <v>3</v>
      </c>
      <c r="E57" s="32"/>
      <c r="F57" s="22">
        <v>38829</v>
      </c>
      <c r="G57" s="25">
        <v>39010</v>
      </c>
      <c r="H57" s="14">
        <v>3</v>
      </c>
      <c r="I57" s="15"/>
      <c r="J57" s="17" t="s">
        <v>13</v>
      </c>
      <c r="K57" s="13" t="s">
        <v>13</v>
      </c>
      <c r="L57" s="14">
        <v>0</v>
      </c>
      <c r="M57" s="32"/>
      <c r="N57" s="17" t="s">
        <v>13</v>
      </c>
      <c r="O57" s="15" t="s">
        <v>13</v>
      </c>
      <c r="P57" s="14">
        <v>0</v>
      </c>
      <c r="Q57" s="8"/>
    </row>
    <row r="58" spans="1:17">
      <c r="A58" s="65" t="s">
        <v>14</v>
      </c>
      <c r="B58" s="19">
        <v>38520</v>
      </c>
      <c r="C58" s="19">
        <v>38632</v>
      </c>
      <c r="D58" s="14">
        <v>4</v>
      </c>
      <c r="E58" s="32"/>
      <c r="F58" s="22">
        <v>38829</v>
      </c>
      <c r="G58" s="25">
        <v>39010</v>
      </c>
      <c r="H58" s="14">
        <v>2</v>
      </c>
      <c r="I58" s="32"/>
      <c r="J58" s="28">
        <v>39219</v>
      </c>
      <c r="K58" s="31">
        <v>39375</v>
      </c>
      <c r="L58" s="14">
        <v>2</v>
      </c>
      <c r="M58" s="32"/>
      <c r="N58" s="22">
        <v>39526</v>
      </c>
      <c r="O58" s="25">
        <v>39746</v>
      </c>
      <c r="P58" s="14">
        <v>2</v>
      </c>
      <c r="Q58" s="8"/>
    </row>
    <row r="59" spans="1:17">
      <c r="A59" s="65" t="s">
        <v>15</v>
      </c>
      <c r="B59" s="23">
        <v>38527</v>
      </c>
      <c r="C59" s="23">
        <v>38632</v>
      </c>
      <c r="D59" s="14">
        <v>2</v>
      </c>
      <c r="E59" s="32"/>
      <c r="F59" s="5" t="s">
        <v>59</v>
      </c>
      <c r="G59" s="2" t="s">
        <v>59</v>
      </c>
      <c r="H59" s="14">
        <v>2</v>
      </c>
      <c r="I59" s="32"/>
      <c r="J59" s="22">
        <v>39161</v>
      </c>
      <c r="K59" s="19">
        <v>39399</v>
      </c>
      <c r="L59" s="14">
        <v>2</v>
      </c>
      <c r="M59" s="32"/>
      <c r="N59" s="5" t="s">
        <v>13</v>
      </c>
      <c r="O59" s="2" t="s">
        <v>13</v>
      </c>
      <c r="P59" s="3">
        <v>0</v>
      </c>
      <c r="Q59" s="8"/>
    </row>
    <row r="60" spans="1:17">
      <c r="A60" s="65" t="s">
        <v>16</v>
      </c>
      <c r="B60" s="2" t="s">
        <v>13</v>
      </c>
      <c r="C60" s="2" t="s">
        <v>13</v>
      </c>
      <c r="D60" s="3">
        <v>0</v>
      </c>
      <c r="E60" s="32"/>
      <c r="F60" s="22">
        <v>38861</v>
      </c>
      <c r="G60" s="25">
        <v>39010</v>
      </c>
      <c r="H60" s="3">
        <v>2</v>
      </c>
      <c r="I60" s="32"/>
      <c r="J60" s="29">
        <v>39218</v>
      </c>
      <c r="K60" s="30">
        <v>39375</v>
      </c>
      <c r="L60" s="3">
        <v>2</v>
      </c>
      <c r="M60" s="32"/>
      <c r="N60" s="22">
        <v>39525</v>
      </c>
      <c r="O60" s="25">
        <v>39746</v>
      </c>
      <c r="P60" s="3">
        <v>2</v>
      </c>
      <c r="Q60" s="8"/>
    </row>
    <row r="61" spans="1:17">
      <c r="A61" s="65" t="s">
        <v>17</v>
      </c>
      <c r="B61" s="2" t="s">
        <v>13</v>
      </c>
      <c r="C61" s="2" t="s">
        <v>13</v>
      </c>
      <c r="D61" s="3">
        <v>0</v>
      </c>
      <c r="F61" s="22">
        <v>38829</v>
      </c>
      <c r="G61" s="25">
        <v>39010</v>
      </c>
      <c r="H61" s="14">
        <v>2</v>
      </c>
      <c r="J61" s="22">
        <v>39189</v>
      </c>
      <c r="K61" s="25">
        <v>39372</v>
      </c>
      <c r="L61" s="14">
        <v>2</v>
      </c>
      <c r="N61" s="22">
        <v>39525</v>
      </c>
      <c r="O61" s="25">
        <v>39746</v>
      </c>
      <c r="P61" s="14">
        <v>2</v>
      </c>
      <c r="Q61" s="8"/>
    </row>
    <row r="62" spans="1:17">
      <c r="A62" s="67" t="s">
        <v>55</v>
      </c>
      <c r="B62" s="5" t="s">
        <v>59</v>
      </c>
      <c r="C62" s="2" t="s">
        <v>59</v>
      </c>
      <c r="D62" s="3">
        <v>3</v>
      </c>
      <c r="E62" s="1"/>
      <c r="F62" s="5" t="s">
        <v>59</v>
      </c>
      <c r="G62" s="2" t="s">
        <v>59</v>
      </c>
      <c r="H62" s="3">
        <v>4</v>
      </c>
      <c r="I62" s="1"/>
      <c r="J62" s="22">
        <v>39161</v>
      </c>
      <c r="K62" s="25">
        <v>39371</v>
      </c>
      <c r="L62" s="3">
        <v>4</v>
      </c>
      <c r="M62" s="1"/>
      <c r="N62" s="22">
        <v>39525</v>
      </c>
      <c r="O62" s="25">
        <v>39746</v>
      </c>
      <c r="P62" s="3">
        <v>4</v>
      </c>
    </row>
    <row r="63" spans="1:17">
      <c r="A63" s="67" t="s">
        <v>39</v>
      </c>
      <c r="B63" s="2" t="s">
        <v>13</v>
      </c>
      <c r="C63" s="7" t="s">
        <v>13</v>
      </c>
      <c r="D63" s="3">
        <v>0</v>
      </c>
      <c r="E63" s="1"/>
      <c r="F63" s="5" t="s">
        <v>13</v>
      </c>
      <c r="G63" s="2" t="s">
        <v>13</v>
      </c>
      <c r="H63" s="3">
        <v>0</v>
      </c>
      <c r="I63" s="1"/>
      <c r="J63" s="5" t="s">
        <v>13</v>
      </c>
      <c r="K63" s="2" t="s">
        <v>13</v>
      </c>
      <c r="L63" s="3">
        <v>0</v>
      </c>
      <c r="M63" s="1"/>
      <c r="N63" s="29">
        <v>39625</v>
      </c>
      <c r="O63" s="30">
        <v>39746</v>
      </c>
      <c r="P63" s="3">
        <v>1</v>
      </c>
    </row>
    <row r="64" spans="1:17">
      <c r="A64" s="67" t="s">
        <v>40</v>
      </c>
      <c r="B64" s="2" t="s">
        <v>13</v>
      </c>
      <c r="C64" s="2" t="s">
        <v>13</v>
      </c>
      <c r="D64" s="3">
        <v>0</v>
      </c>
      <c r="F64" s="5" t="s">
        <v>13</v>
      </c>
      <c r="G64" s="2" t="s">
        <v>13</v>
      </c>
      <c r="H64" s="3">
        <v>0</v>
      </c>
      <c r="J64" s="5" t="s">
        <v>13</v>
      </c>
      <c r="K64" s="2" t="s">
        <v>13</v>
      </c>
      <c r="L64" s="3">
        <v>0</v>
      </c>
      <c r="N64" s="29">
        <v>39625</v>
      </c>
      <c r="O64" s="30">
        <v>39746</v>
      </c>
      <c r="P64" s="3">
        <v>1</v>
      </c>
    </row>
    <row r="65" spans="1:16">
      <c r="A65" s="67" t="s">
        <v>41</v>
      </c>
      <c r="B65" s="2" t="s">
        <v>13</v>
      </c>
      <c r="C65" s="7" t="s">
        <v>13</v>
      </c>
      <c r="D65" s="3">
        <v>0</v>
      </c>
      <c r="F65" s="5" t="s">
        <v>13</v>
      </c>
      <c r="G65" s="2" t="s">
        <v>13</v>
      </c>
      <c r="H65" s="3">
        <v>0</v>
      </c>
      <c r="J65" s="5" t="s">
        <v>13</v>
      </c>
      <c r="K65" s="2" t="s">
        <v>13</v>
      </c>
      <c r="L65" s="3">
        <v>0</v>
      </c>
      <c r="N65" s="29">
        <v>39625</v>
      </c>
      <c r="O65" s="30">
        <v>39746</v>
      </c>
      <c r="P65" s="3">
        <v>1</v>
      </c>
    </row>
    <row r="66" spans="1:16">
      <c r="A66" s="67" t="s">
        <v>42</v>
      </c>
      <c r="B66" s="2" t="s">
        <v>13</v>
      </c>
      <c r="C66" s="2" t="s">
        <v>13</v>
      </c>
      <c r="D66" s="3">
        <v>0</v>
      </c>
      <c r="F66" s="5" t="s">
        <v>13</v>
      </c>
      <c r="G66" s="2" t="s">
        <v>13</v>
      </c>
      <c r="H66" s="3">
        <v>0</v>
      </c>
      <c r="J66" s="5" t="s">
        <v>13</v>
      </c>
      <c r="K66" s="2" t="s">
        <v>13</v>
      </c>
      <c r="L66" s="3">
        <v>0</v>
      </c>
      <c r="N66" s="29">
        <v>39625</v>
      </c>
      <c r="O66" s="30">
        <v>39746</v>
      </c>
      <c r="P66" s="3">
        <v>1</v>
      </c>
    </row>
    <row r="67" spans="1:16">
      <c r="A67" s="67" t="s">
        <v>43</v>
      </c>
      <c r="B67" s="2" t="s">
        <v>13</v>
      </c>
      <c r="C67" s="7" t="s">
        <v>13</v>
      </c>
      <c r="D67" s="3">
        <v>0</v>
      </c>
      <c r="F67" s="5" t="s">
        <v>13</v>
      </c>
      <c r="G67" s="2" t="s">
        <v>13</v>
      </c>
      <c r="H67" s="3">
        <v>0</v>
      </c>
      <c r="J67" s="5" t="s">
        <v>13</v>
      </c>
      <c r="K67" s="2" t="s">
        <v>13</v>
      </c>
      <c r="L67" s="3">
        <v>0</v>
      </c>
      <c r="N67" s="29">
        <v>39625</v>
      </c>
      <c r="O67" s="30">
        <v>39746</v>
      </c>
      <c r="P67" s="3">
        <v>1</v>
      </c>
    </row>
    <row r="68" spans="1:16">
      <c r="A68" s="67" t="s">
        <v>44</v>
      </c>
      <c r="B68" s="2" t="s">
        <v>13</v>
      </c>
      <c r="C68" s="2" t="s">
        <v>13</v>
      </c>
      <c r="D68" s="3">
        <v>0</v>
      </c>
      <c r="F68" s="5" t="s">
        <v>13</v>
      </c>
      <c r="G68" s="2" t="s">
        <v>13</v>
      </c>
      <c r="H68" s="3">
        <v>0</v>
      </c>
      <c r="J68" s="5" t="s">
        <v>13</v>
      </c>
      <c r="K68" s="2" t="s">
        <v>13</v>
      </c>
      <c r="L68" s="3">
        <v>0</v>
      </c>
      <c r="N68" s="29">
        <v>39625</v>
      </c>
      <c r="O68" s="30">
        <v>39746</v>
      </c>
      <c r="P68" s="3">
        <v>1</v>
      </c>
    </row>
    <row r="69" spans="1:16">
      <c r="A69" s="67" t="s">
        <v>45</v>
      </c>
      <c r="B69" s="2" t="s">
        <v>13</v>
      </c>
      <c r="C69" s="7" t="s">
        <v>13</v>
      </c>
      <c r="D69" s="3">
        <v>0</v>
      </c>
      <c r="F69" s="5" t="s">
        <v>13</v>
      </c>
      <c r="G69" s="2" t="s">
        <v>13</v>
      </c>
      <c r="H69" s="3">
        <v>0</v>
      </c>
      <c r="J69" s="5" t="s">
        <v>13</v>
      </c>
      <c r="K69" s="2" t="s">
        <v>13</v>
      </c>
      <c r="L69" s="3">
        <v>0</v>
      </c>
      <c r="N69" s="29">
        <v>39625</v>
      </c>
      <c r="O69" s="30">
        <v>39746</v>
      </c>
      <c r="P69" s="3">
        <v>1</v>
      </c>
    </row>
    <row r="70" spans="1:16">
      <c r="A70" s="67" t="s">
        <v>46</v>
      </c>
      <c r="B70" s="2" t="s">
        <v>13</v>
      </c>
      <c r="C70" s="2" t="s">
        <v>13</v>
      </c>
      <c r="D70" s="3">
        <v>0</v>
      </c>
      <c r="F70" s="5" t="s">
        <v>13</v>
      </c>
      <c r="G70" s="2" t="s">
        <v>13</v>
      </c>
      <c r="H70" s="3">
        <v>0</v>
      </c>
      <c r="J70" s="5" t="s">
        <v>13</v>
      </c>
      <c r="K70" s="2" t="s">
        <v>13</v>
      </c>
      <c r="L70" s="3">
        <v>0</v>
      </c>
      <c r="N70" s="29">
        <v>39625</v>
      </c>
      <c r="O70" s="30">
        <v>39746</v>
      </c>
      <c r="P70" s="3">
        <v>2</v>
      </c>
    </row>
    <row r="71" spans="1:16">
      <c r="A71" s="67" t="s">
        <v>47</v>
      </c>
      <c r="B71" s="2" t="s">
        <v>13</v>
      </c>
      <c r="C71" s="2" t="s">
        <v>13</v>
      </c>
      <c r="D71" s="3">
        <v>0</v>
      </c>
      <c r="F71" s="5" t="s">
        <v>13</v>
      </c>
      <c r="G71" s="2" t="s">
        <v>13</v>
      </c>
      <c r="H71" s="3">
        <v>0</v>
      </c>
      <c r="J71" s="5" t="s">
        <v>13</v>
      </c>
      <c r="K71" s="2" t="s">
        <v>13</v>
      </c>
      <c r="L71" s="3">
        <v>0</v>
      </c>
      <c r="N71" s="29">
        <v>39625</v>
      </c>
      <c r="O71" s="30">
        <v>39746</v>
      </c>
      <c r="P71" s="3">
        <v>1</v>
      </c>
    </row>
    <row r="72" spans="1:16" ht="15.75" thickBot="1">
      <c r="A72" s="68" t="s">
        <v>57</v>
      </c>
      <c r="B72" s="82" t="s">
        <v>59</v>
      </c>
      <c r="C72" s="27" t="s">
        <v>59</v>
      </c>
      <c r="D72" s="86">
        <v>0</v>
      </c>
      <c r="F72" s="33" t="s">
        <v>59</v>
      </c>
      <c r="G72" s="27" t="s">
        <v>59</v>
      </c>
      <c r="H72" s="86">
        <v>0</v>
      </c>
      <c r="J72" s="33" t="s">
        <v>59</v>
      </c>
      <c r="K72" s="27" t="s">
        <v>59</v>
      </c>
      <c r="L72" s="86">
        <v>0</v>
      </c>
      <c r="N72" s="84">
        <v>39525</v>
      </c>
      <c r="O72" s="85">
        <v>39746</v>
      </c>
      <c r="P72" s="86">
        <v>2</v>
      </c>
    </row>
    <row r="73" spans="1:16">
      <c r="A73" s="83"/>
      <c r="B73" s="87"/>
      <c r="C73" s="25"/>
      <c r="D73" s="13"/>
      <c r="E73" s="36"/>
    </row>
    <row r="98" spans="13:13">
      <c r="M98" s="32"/>
    </row>
  </sheetData>
  <mergeCells count="9">
    <mergeCell ref="Q4:U4"/>
    <mergeCell ref="A2:C2"/>
    <mergeCell ref="B39:D39"/>
    <mergeCell ref="F39:H39"/>
    <mergeCell ref="J39:L39"/>
    <mergeCell ref="N39:P39"/>
    <mergeCell ref="B4:F4"/>
    <mergeCell ref="G4:K4"/>
    <mergeCell ref="L4:P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AB72"/>
  <sheetViews>
    <sheetView tabSelected="1" zoomScale="80" zoomScaleNormal="80" workbookViewId="0">
      <selection activeCell="V29" sqref="V29"/>
    </sheetView>
  </sheetViews>
  <sheetFormatPr defaultColWidth="12.7109375" defaultRowHeight="15"/>
  <sheetData>
    <row r="2" spans="1:21">
      <c r="A2" s="91" t="s">
        <v>52</v>
      </c>
      <c r="B2" s="93"/>
    </row>
    <row r="4" spans="1:21" ht="15.75" thickBot="1">
      <c r="A4" s="10"/>
      <c r="B4" s="97">
        <v>2005</v>
      </c>
      <c r="C4" s="98"/>
      <c r="D4" s="98"/>
      <c r="E4" s="98"/>
      <c r="F4" s="99"/>
      <c r="G4" s="97">
        <v>2006</v>
      </c>
      <c r="H4" s="98"/>
      <c r="I4" s="98"/>
      <c r="J4" s="98"/>
      <c r="K4" s="99"/>
      <c r="L4" s="97">
        <v>2007</v>
      </c>
      <c r="M4" s="98"/>
      <c r="N4" s="98"/>
      <c r="O4" s="98"/>
      <c r="P4" s="99"/>
      <c r="Q4" s="97">
        <v>2008</v>
      </c>
      <c r="R4" s="98"/>
      <c r="S4" s="98"/>
      <c r="T4" s="98"/>
      <c r="U4" s="99"/>
    </row>
    <row r="5" spans="1:21">
      <c r="A5" s="64" t="s">
        <v>12</v>
      </c>
      <c r="B5" s="11" t="s">
        <v>22</v>
      </c>
      <c r="C5" s="11" t="s">
        <v>0</v>
      </c>
      <c r="D5" s="12" t="s">
        <v>1</v>
      </c>
      <c r="E5" s="12" t="s">
        <v>2</v>
      </c>
      <c r="F5" s="12" t="s">
        <v>3</v>
      </c>
      <c r="G5" s="69" t="s">
        <v>22</v>
      </c>
      <c r="H5" s="37" t="s">
        <v>0</v>
      </c>
      <c r="I5" s="37" t="s">
        <v>1</v>
      </c>
      <c r="J5" s="37" t="s">
        <v>2</v>
      </c>
      <c r="K5" s="37" t="s">
        <v>3</v>
      </c>
      <c r="L5" s="69" t="s">
        <v>22</v>
      </c>
      <c r="M5" s="37" t="s">
        <v>0</v>
      </c>
      <c r="N5" s="37" t="s">
        <v>1</v>
      </c>
      <c r="O5" s="37" t="s">
        <v>2</v>
      </c>
      <c r="P5" s="37" t="s">
        <v>3</v>
      </c>
      <c r="Q5" s="69" t="s">
        <v>22</v>
      </c>
      <c r="R5" s="37" t="s">
        <v>0</v>
      </c>
      <c r="S5" s="37" t="s">
        <v>1</v>
      </c>
      <c r="T5" s="37" t="s">
        <v>2</v>
      </c>
      <c r="U5" s="37" t="s">
        <v>3</v>
      </c>
    </row>
    <row r="6" spans="1:21">
      <c r="A6" s="67" t="s">
        <v>4</v>
      </c>
      <c r="B6" s="63">
        <v>27</v>
      </c>
      <c r="C6" s="45">
        <f>2800.73076923077*(1/1000)</f>
        <v>2.8007307692307699</v>
      </c>
      <c r="D6" s="40">
        <f>5040*(1/1000)</f>
        <v>5.04</v>
      </c>
      <c r="E6" s="40">
        <f>1387*(1/1000)</f>
        <v>1.387</v>
      </c>
      <c r="F6" s="39">
        <f>993.768022825691*(1/1000)</f>
        <v>0.99376802282569099</v>
      </c>
      <c r="G6" s="49">
        <v>28</v>
      </c>
      <c r="H6" s="40">
        <f>3326.94047619048*(1/1000)</f>
        <v>3.3269404761904799</v>
      </c>
      <c r="I6" s="40">
        <f>4700*(1/1000)</f>
        <v>4.7</v>
      </c>
      <c r="J6" s="40">
        <f>1444*(1/1000)</f>
        <v>1.444</v>
      </c>
      <c r="K6" s="39">
        <f>1040.34156987529*(1/1000)</f>
        <v>1.04034156987529</v>
      </c>
      <c r="L6" s="49">
        <v>23</v>
      </c>
      <c r="M6" s="40">
        <f>3101.94117647059*(1/1000)</f>
        <v>3.1019411764705902</v>
      </c>
      <c r="N6" s="40">
        <f>4474*(1/1000)</f>
        <v>4.4740000000000002</v>
      </c>
      <c r="O6" s="40">
        <f>1300*(1/1000)</f>
        <v>1.3</v>
      </c>
      <c r="P6" s="39">
        <f>892.860500592219*(1/1000)</f>
        <v>0.892860500592219</v>
      </c>
      <c r="Q6" s="49">
        <v>24</v>
      </c>
      <c r="R6" s="40">
        <f>3784.60714285714*(1/1000)</f>
        <v>3.7846071428571402</v>
      </c>
      <c r="S6" s="40">
        <f>5800*(1/1000)</f>
        <v>5.8</v>
      </c>
      <c r="T6" s="40">
        <f>2184*(1/1000)</f>
        <v>2.1840000000000002</v>
      </c>
      <c r="U6" s="39">
        <f>1248.80602034474*(1/1000)</f>
        <v>1.2488060203447402</v>
      </c>
    </row>
    <row r="7" spans="1:21">
      <c r="A7" s="67" t="s">
        <v>5</v>
      </c>
      <c r="B7" s="2">
        <v>30</v>
      </c>
      <c r="C7" s="40">
        <f>1136*(1/1000)</f>
        <v>1.1360000000000001</v>
      </c>
      <c r="D7" s="40">
        <f>1940*(1/1000)</f>
        <v>1.94</v>
      </c>
      <c r="E7" s="40">
        <f>788*(1/1000)</f>
        <v>0.78800000000000003</v>
      </c>
      <c r="F7" s="41">
        <f>246.352228911482*(1/1000)</f>
        <v>0.24635222891148201</v>
      </c>
      <c r="G7" s="48">
        <v>17</v>
      </c>
      <c r="H7" s="40">
        <f>1399.02777777778*(1/1000)</f>
        <v>1.3990277777777802</v>
      </c>
      <c r="I7" s="40">
        <f>4220*(1/1000)</f>
        <v>4.22</v>
      </c>
      <c r="J7" s="40">
        <f>1084*(1/1000)</f>
        <v>1.0840000000000001</v>
      </c>
      <c r="K7" s="41">
        <f>740.814158643758*(1/1000)</f>
        <v>0.74081415864375799</v>
      </c>
      <c r="L7" s="49">
        <v>57</v>
      </c>
      <c r="M7" s="40">
        <f>1538.94736842105*(1/1000)</f>
        <v>1.53894736842105</v>
      </c>
      <c r="N7" s="40">
        <f>2300*(1/1000)</f>
        <v>2.3000000000000003</v>
      </c>
      <c r="O7" s="40">
        <f>570*(1/1000)</f>
        <v>0.57000000000000006</v>
      </c>
      <c r="P7" s="41">
        <f>457.172159540196*(1/1000)</f>
        <v>0.45717215954019602</v>
      </c>
      <c r="Q7" s="49">
        <v>33</v>
      </c>
      <c r="R7" s="40">
        <f>1809.77380952381*(1/1000)</f>
        <v>1.8097738095238101</v>
      </c>
      <c r="S7" s="40">
        <f>4419*(1/1000)</f>
        <v>4.4190000000000005</v>
      </c>
      <c r="T7" s="40">
        <f>1121*(1/1000)</f>
        <v>1.121</v>
      </c>
      <c r="U7" s="41">
        <f>662.70980954462*(1/1000)</f>
        <v>0.66270980954462011</v>
      </c>
    </row>
    <row r="8" spans="1:21">
      <c r="A8" s="67" t="s">
        <v>6</v>
      </c>
      <c r="B8" s="2">
        <v>10</v>
      </c>
      <c r="C8" s="40">
        <f>2362.1*(1/1000)</f>
        <v>2.3620999999999999</v>
      </c>
      <c r="D8" s="40">
        <f>2503*(1/1000)</f>
        <v>2.5030000000000001</v>
      </c>
      <c r="E8" s="40">
        <f>2256*(1/1000)</f>
        <v>2.2560000000000002</v>
      </c>
      <c r="F8" s="41">
        <f>81.2792853205665*(1/1000)</f>
        <v>8.1279285320566497E-2</v>
      </c>
      <c r="G8" s="49">
        <v>0</v>
      </c>
      <c r="H8" s="42" t="s">
        <v>26</v>
      </c>
      <c r="I8" s="42" t="s">
        <v>24</v>
      </c>
      <c r="J8" s="42" t="s">
        <v>24</v>
      </c>
      <c r="K8" s="43" t="s">
        <v>24</v>
      </c>
      <c r="L8" s="50">
        <v>0</v>
      </c>
      <c r="M8" s="42" t="s">
        <v>31</v>
      </c>
      <c r="N8" s="42" t="s">
        <v>23</v>
      </c>
      <c r="O8" s="42" t="s">
        <v>23</v>
      </c>
      <c r="P8" s="43" t="s">
        <v>23</v>
      </c>
      <c r="Q8" s="50">
        <v>0</v>
      </c>
      <c r="R8" s="42" t="s">
        <v>51</v>
      </c>
      <c r="S8" s="42" t="s">
        <v>13</v>
      </c>
      <c r="T8" s="42" t="s">
        <v>13</v>
      </c>
      <c r="U8" s="43" t="s">
        <v>13</v>
      </c>
    </row>
    <row r="9" spans="1:21">
      <c r="A9" s="67" t="s">
        <v>54</v>
      </c>
      <c r="B9" s="2">
        <v>0</v>
      </c>
      <c r="C9" s="42" t="s">
        <v>59</v>
      </c>
      <c r="D9" s="42" t="s">
        <v>59</v>
      </c>
      <c r="E9" s="42" t="s">
        <v>59</v>
      </c>
      <c r="F9" s="43" t="s">
        <v>59</v>
      </c>
      <c r="G9" s="49">
        <v>22</v>
      </c>
      <c r="H9" s="40">
        <f>1772.4*(1/1000)</f>
        <v>1.7724000000000002</v>
      </c>
      <c r="I9" s="40">
        <f>2210*(1/1000)</f>
        <v>2.21</v>
      </c>
      <c r="J9" s="40">
        <f>605*(1/1000)</f>
        <v>0.60499999999999998</v>
      </c>
      <c r="K9" s="41">
        <f>473.292437718723*(1/1000)</f>
        <v>0.47329243771872304</v>
      </c>
      <c r="L9" s="50">
        <v>22</v>
      </c>
      <c r="M9" s="42">
        <f>2192*(1/1000)</f>
        <v>2.1920000000000002</v>
      </c>
      <c r="N9" s="42">
        <f>3425*(1/1000)</f>
        <v>3.4250000000000003</v>
      </c>
      <c r="O9" s="42">
        <f>1196*(1/1000)</f>
        <v>1.196</v>
      </c>
      <c r="P9" s="43">
        <f>654.860021062629*(1/1000)</f>
        <v>0.65486002106262908</v>
      </c>
      <c r="Q9" s="50">
        <v>12</v>
      </c>
      <c r="R9" s="42">
        <f>2552.13636363636*(1/1000)</f>
        <v>2.5521363636363601</v>
      </c>
      <c r="S9" s="42">
        <f>2966*(1/1000)</f>
        <v>2.9660000000000002</v>
      </c>
      <c r="T9" s="42">
        <f>1985*(1/1000)</f>
        <v>1.9850000000000001</v>
      </c>
      <c r="U9" s="43">
        <f>249.804332519383*(1/1000)</f>
        <v>0.249804332519383</v>
      </c>
    </row>
    <row r="10" spans="1:21">
      <c r="A10" s="67" t="s">
        <v>48</v>
      </c>
      <c r="B10" s="2">
        <v>0</v>
      </c>
      <c r="C10" s="42" t="s">
        <v>59</v>
      </c>
      <c r="D10" s="42" t="s">
        <v>59</v>
      </c>
      <c r="E10" s="42" t="s">
        <v>59</v>
      </c>
      <c r="F10" s="43" t="s">
        <v>59</v>
      </c>
      <c r="G10" s="2">
        <v>0</v>
      </c>
      <c r="H10" s="42" t="s">
        <v>59</v>
      </c>
      <c r="I10" s="42" t="s">
        <v>59</v>
      </c>
      <c r="J10" s="42" t="s">
        <v>59</v>
      </c>
      <c r="K10" s="43" t="s">
        <v>59</v>
      </c>
      <c r="L10" s="2">
        <v>0</v>
      </c>
      <c r="M10" s="42" t="s">
        <v>59</v>
      </c>
      <c r="N10" s="42" t="s">
        <v>59</v>
      </c>
      <c r="O10" s="42" t="s">
        <v>59</v>
      </c>
      <c r="P10" s="43" t="s">
        <v>59</v>
      </c>
      <c r="Q10" s="49">
        <v>0</v>
      </c>
      <c r="R10" s="42" t="s">
        <v>23</v>
      </c>
      <c r="S10" s="42" t="s">
        <v>23</v>
      </c>
      <c r="T10" s="42" t="s">
        <v>23</v>
      </c>
      <c r="U10" s="43" t="s">
        <v>23</v>
      </c>
    </row>
    <row r="11" spans="1:21">
      <c r="A11" s="67" t="s">
        <v>37</v>
      </c>
      <c r="B11" s="2">
        <v>39</v>
      </c>
      <c r="C11" s="42">
        <f>1710.87179487179*(1/1000)</f>
        <v>1.7108717948717949</v>
      </c>
      <c r="D11" s="42">
        <f>2728*(1/1000)</f>
        <v>2.7280000000000002</v>
      </c>
      <c r="E11" s="42">
        <f>628*(1/1000)</f>
        <v>0.628</v>
      </c>
      <c r="F11" s="43">
        <f>505.298409982561*(1/1000)</f>
        <v>0.5052984099825607</v>
      </c>
      <c r="G11" s="2">
        <v>47</v>
      </c>
      <c r="H11" s="42">
        <f>2041.63829787234*(1/1000)</f>
        <v>2.0416382978723404</v>
      </c>
      <c r="I11" s="42">
        <f>2882*(1/1000)</f>
        <v>2.8820000000000001</v>
      </c>
      <c r="J11" s="42">
        <f>1185*(1/1000)</f>
        <v>1.1850000000000001</v>
      </c>
      <c r="K11" s="43">
        <f>513.634086702904*(1/1000)</f>
        <v>0.51363408670290411</v>
      </c>
      <c r="L11" s="2">
        <v>51</v>
      </c>
      <c r="M11" s="42">
        <f>2677.98039215686*(1/1000)</f>
        <v>2.6779803921568628</v>
      </c>
      <c r="N11" s="42">
        <f>5250*(1/1000)</f>
        <v>5.25</v>
      </c>
      <c r="O11" s="42">
        <f>1082*(1/1000)</f>
        <v>1.0820000000000001</v>
      </c>
      <c r="P11" s="43">
        <f>1097.4139144406*(1/1000)</f>
        <v>1.0974139144406012</v>
      </c>
      <c r="Q11" s="49">
        <v>30</v>
      </c>
      <c r="R11" s="40">
        <f>2960.2*(1/1000)</f>
        <v>2.9601999999999999</v>
      </c>
      <c r="S11" s="40">
        <f>4018*(1/1000)</f>
        <v>4.0179999999999998</v>
      </c>
      <c r="T11" s="40">
        <f>2003*(1/1000)</f>
        <v>2.0030000000000001</v>
      </c>
      <c r="U11" s="41">
        <f>769.370831174453*(1/1000)</f>
        <v>0.76937083117445304</v>
      </c>
    </row>
    <row r="12" spans="1:21">
      <c r="A12" s="67" t="s">
        <v>38</v>
      </c>
      <c r="B12" s="2">
        <v>0</v>
      </c>
      <c r="C12" s="42" t="s">
        <v>59</v>
      </c>
      <c r="D12" s="42" t="s">
        <v>59</v>
      </c>
      <c r="E12" s="42" t="s">
        <v>59</v>
      </c>
      <c r="F12" s="43" t="s">
        <v>59</v>
      </c>
      <c r="G12" s="2">
        <v>0</v>
      </c>
      <c r="H12" s="42" t="s">
        <v>59</v>
      </c>
      <c r="I12" s="42" t="s">
        <v>59</v>
      </c>
      <c r="J12" s="42" t="s">
        <v>59</v>
      </c>
      <c r="K12" s="43" t="s">
        <v>59</v>
      </c>
      <c r="L12" s="2">
        <v>0</v>
      </c>
      <c r="M12" s="42" t="s">
        <v>59</v>
      </c>
      <c r="N12" s="42" t="s">
        <v>59</v>
      </c>
      <c r="O12" s="42" t="s">
        <v>59</v>
      </c>
      <c r="P12" s="43" t="s">
        <v>59</v>
      </c>
      <c r="Q12" s="49">
        <v>15</v>
      </c>
      <c r="R12" s="40">
        <f>1233.4*(1/1000)</f>
        <v>1.2334000000000001</v>
      </c>
      <c r="S12" s="40">
        <f>1353*(1/1000)</f>
        <v>1.353</v>
      </c>
      <c r="T12" s="40">
        <f>900*(1/1000)</f>
        <v>0.9</v>
      </c>
      <c r="U12" s="41">
        <f>109.13805150228*(1/1000)</f>
        <v>0.10913805150228001</v>
      </c>
    </row>
    <row r="13" spans="1:21">
      <c r="A13" s="67" t="s">
        <v>49</v>
      </c>
      <c r="B13" s="2">
        <v>0</v>
      </c>
      <c r="C13" s="42" t="s">
        <v>59</v>
      </c>
      <c r="D13" s="42" t="s">
        <v>59</v>
      </c>
      <c r="E13" s="42" t="s">
        <v>59</v>
      </c>
      <c r="F13" s="43" t="s">
        <v>59</v>
      </c>
      <c r="G13" s="2">
        <v>0</v>
      </c>
      <c r="H13" s="42" t="s">
        <v>59</v>
      </c>
      <c r="I13" s="42" t="s">
        <v>59</v>
      </c>
      <c r="J13" s="42" t="s">
        <v>59</v>
      </c>
      <c r="K13" s="43" t="s">
        <v>59</v>
      </c>
      <c r="L13" s="2">
        <v>0</v>
      </c>
      <c r="M13" s="42" t="s">
        <v>59</v>
      </c>
      <c r="N13" s="42" t="s">
        <v>59</v>
      </c>
      <c r="O13" s="42" t="s">
        <v>59</v>
      </c>
      <c r="P13" s="43" t="s">
        <v>59</v>
      </c>
      <c r="Q13" s="49">
        <v>33</v>
      </c>
      <c r="R13" s="40">
        <f>1221.5*(1/1000)</f>
        <v>1.2215</v>
      </c>
      <c r="S13" s="40">
        <f>1353*(1/1000)</f>
        <v>1.353</v>
      </c>
      <c r="T13" s="40">
        <f>900*(1/1000)</f>
        <v>0.9</v>
      </c>
      <c r="U13" s="41">
        <f>99.3416072988116*(1/1000)</f>
        <v>9.9341607298811599E-2</v>
      </c>
    </row>
    <row r="14" spans="1:21">
      <c r="A14" s="67" t="s">
        <v>50</v>
      </c>
      <c r="B14" s="2">
        <v>25</v>
      </c>
      <c r="C14" s="42">
        <f>1270.23076923077*(1/1000)</f>
        <v>1.2702307692307693</v>
      </c>
      <c r="D14" s="42">
        <f>2190*(1/1000)</f>
        <v>2.19</v>
      </c>
      <c r="E14" s="42">
        <f>890*(1/1000)</f>
        <v>0.89</v>
      </c>
      <c r="F14" s="43">
        <f>347.587528544969*(1/1000)</f>
        <v>0.34758752854496933</v>
      </c>
      <c r="G14" s="49">
        <v>25</v>
      </c>
      <c r="H14" s="40">
        <f>1309.10714285714*(1/1000)</f>
        <v>1.3091071428571399</v>
      </c>
      <c r="I14" s="40">
        <f>1761*(1/1000)</f>
        <v>1.7610000000000001</v>
      </c>
      <c r="J14" s="40">
        <f>825*(1/1000)</f>
        <v>0.82500000000000007</v>
      </c>
      <c r="K14" s="41">
        <f>301.807819646874*(1/1000)</f>
        <v>0.30180781964687403</v>
      </c>
      <c r="L14" s="49">
        <v>32</v>
      </c>
      <c r="M14" s="40">
        <f>1632.53125*(1/1000)</f>
        <v>1.63253125</v>
      </c>
      <c r="N14" s="40">
        <f>14500*(1/1000)</f>
        <v>14.5</v>
      </c>
      <c r="O14" s="40">
        <f>811*(1/1000)</f>
        <v>0.81100000000000005</v>
      </c>
      <c r="P14" s="41">
        <f>2365.06709970113*(1/1000)</f>
        <v>2.3650670997011298</v>
      </c>
      <c r="Q14" s="2">
        <v>0</v>
      </c>
      <c r="R14" s="42" t="s">
        <v>59</v>
      </c>
      <c r="S14" s="42" t="s">
        <v>59</v>
      </c>
      <c r="T14" s="42" t="s">
        <v>59</v>
      </c>
      <c r="U14" s="43" t="s">
        <v>59</v>
      </c>
    </row>
    <row r="15" spans="1:21">
      <c r="A15" s="67" t="s">
        <v>53</v>
      </c>
      <c r="B15" s="2">
        <v>0</v>
      </c>
      <c r="C15" s="42" t="s">
        <v>59</v>
      </c>
      <c r="D15" s="42" t="s">
        <v>59</v>
      </c>
      <c r="E15" s="42" t="s">
        <v>59</v>
      </c>
      <c r="F15" s="43" t="s">
        <v>59</v>
      </c>
      <c r="G15" s="2">
        <v>0</v>
      </c>
      <c r="H15" s="42" t="s">
        <v>59</v>
      </c>
      <c r="I15" s="42" t="s">
        <v>59</v>
      </c>
      <c r="J15" s="42" t="s">
        <v>59</v>
      </c>
      <c r="K15" s="43" t="s">
        <v>59</v>
      </c>
      <c r="L15" s="2">
        <v>0</v>
      </c>
      <c r="M15" s="42" t="s">
        <v>59</v>
      </c>
      <c r="N15" s="42" t="s">
        <v>59</v>
      </c>
      <c r="O15" s="42" t="s">
        <v>59</v>
      </c>
      <c r="P15" s="43" t="s">
        <v>59</v>
      </c>
      <c r="Q15" s="49">
        <v>0</v>
      </c>
      <c r="R15" s="46" t="s">
        <v>23</v>
      </c>
      <c r="S15" s="46" t="s">
        <v>23</v>
      </c>
      <c r="T15" s="46" t="s">
        <v>23</v>
      </c>
      <c r="U15" s="47" t="s">
        <v>23</v>
      </c>
    </row>
    <row r="16" spans="1:21">
      <c r="A16" s="67" t="s">
        <v>58</v>
      </c>
      <c r="B16" s="2">
        <v>48</v>
      </c>
      <c r="C16" s="42">
        <f>3884.41666666667*(1/1000)</f>
        <v>3.8844166666666666</v>
      </c>
      <c r="D16" s="42">
        <f>7130*(1/1000)</f>
        <v>7.13</v>
      </c>
      <c r="E16" s="42">
        <f>613*(1/1000)</f>
        <v>0.61299999999999999</v>
      </c>
      <c r="F16" s="43">
        <f>1640.37212738819*(1/1000)</f>
        <v>1.6403721273881899</v>
      </c>
      <c r="G16" s="2">
        <v>0</v>
      </c>
      <c r="H16" s="42" t="s">
        <v>59</v>
      </c>
      <c r="I16" s="42" t="s">
        <v>59</v>
      </c>
      <c r="J16" s="42" t="s">
        <v>59</v>
      </c>
      <c r="K16" s="43" t="s">
        <v>59</v>
      </c>
      <c r="L16" s="49">
        <v>52</v>
      </c>
      <c r="M16" s="42">
        <f>3665.09615384615*(1/1000)</f>
        <v>3.6650961538461537</v>
      </c>
      <c r="N16" s="42">
        <f>6570*(1/1000)</f>
        <v>6.57</v>
      </c>
      <c r="O16" s="42">
        <f>1600*(1/1000)</f>
        <v>1.6</v>
      </c>
      <c r="P16" s="43">
        <f>1293.40537387216*(1/1000)</f>
        <v>1.2934053738721618</v>
      </c>
      <c r="Q16" s="49">
        <v>22</v>
      </c>
      <c r="R16" s="40">
        <f>4641.68181818182*(1/1000)</f>
        <v>4.6416818181818202</v>
      </c>
      <c r="S16" s="40">
        <f>5870*(1/1000)</f>
        <v>5.87</v>
      </c>
      <c r="T16" s="40">
        <f>3283*(1/1000)</f>
        <v>3.2829999999999999</v>
      </c>
      <c r="U16" s="41">
        <f>819.685153630496*(1/1000)</f>
        <v>0.81968515363049599</v>
      </c>
    </row>
    <row r="17" spans="1:21">
      <c r="A17" s="67" t="s">
        <v>56</v>
      </c>
      <c r="B17" s="2">
        <v>0</v>
      </c>
      <c r="C17" s="42" t="s">
        <v>59</v>
      </c>
      <c r="D17" s="42" t="s">
        <v>59</v>
      </c>
      <c r="E17" s="42" t="s">
        <v>59</v>
      </c>
      <c r="F17" s="43" t="s">
        <v>59</v>
      </c>
      <c r="G17" s="2">
        <v>0</v>
      </c>
      <c r="H17" s="42" t="s">
        <v>59</v>
      </c>
      <c r="I17" s="42" t="s">
        <v>59</v>
      </c>
      <c r="J17" s="42" t="s">
        <v>59</v>
      </c>
      <c r="K17" s="43" t="s">
        <v>59</v>
      </c>
      <c r="L17" s="2">
        <v>0</v>
      </c>
      <c r="M17" s="42" t="s">
        <v>59</v>
      </c>
      <c r="N17" s="42" t="s">
        <v>59</v>
      </c>
      <c r="O17" s="42" t="s">
        <v>59</v>
      </c>
      <c r="P17" s="43" t="s">
        <v>59</v>
      </c>
      <c r="Q17" s="49">
        <v>30</v>
      </c>
      <c r="R17" s="40">
        <f>2605.26666666667*(1/1000)</f>
        <v>2.6052666666666702</v>
      </c>
      <c r="S17" s="40">
        <f>3133*(1/1000)</f>
        <v>3.133</v>
      </c>
      <c r="T17" s="40">
        <f>1368*(1/1000)</f>
        <v>1.3680000000000001</v>
      </c>
      <c r="U17" s="41">
        <f>340.517449381575*(1/1000)</f>
        <v>0.34051744938157497</v>
      </c>
    </row>
    <row r="18" spans="1:21">
      <c r="A18" s="67" t="s">
        <v>7</v>
      </c>
      <c r="B18" s="2">
        <v>0</v>
      </c>
      <c r="C18" s="42" t="s">
        <v>23</v>
      </c>
      <c r="D18" s="42" t="s">
        <v>23</v>
      </c>
      <c r="E18" s="42" t="s">
        <v>23</v>
      </c>
      <c r="F18" s="43" t="s">
        <v>23</v>
      </c>
      <c r="G18" s="2">
        <v>0</v>
      </c>
      <c r="H18" s="42" t="s">
        <v>59</v>
      </c>
      <c r="I18" s="42" t="s">
        <v>59</v>
      </c>
      <c r="J18" s="42" t="s">
        <v>59</v>
      </c>
      <c r="K18" s="43" t="s">
        <v>59</v>
      </c>
      <c r="L18" s="2">
        <v>0</v>
      </c>
      <c r="M18" s="42" t="s">
        <v>59</v>
      </c>
      <c r="N18" s="42" t="s">
        <v>59</v>
      </c>
      <c r="O18" s="42" t="s">
        <v>59</v>
      </c>
      <c r="P18" s="43" t="s">
        <v>59</v>
      </c>
      <c r="Q18" s="2">
        <v>0</v>
      </c>
      <c r="R18" s="42" t="s">
        <v>59</v>
      </c>
      <c r="S18" s="42" t="s">
        <v>59</v>
      </c>
      <c r="T18" s="42" t="s">
        <v>59</v>
      </c>
      <c r="U18" s="43" t="s">
        <v>59</v>
      </c>
    </row>
    <row r="19" spans="1:21">
      <c r="A19" s="67" t="s">
        <v>8</v>
      </c>
      <c r="B19" s="2">
        <v>13</v>
      </c>
      <c r="C19" s="40">
        <f>3796.23076923077*(1/1000)</f>
        <v>3.7962307692307702</v>
      </c>
      <c r="D19" s="40">
        <f>4356*(1/1000)</f>
        <v>4.3559999999999999</v>
      </c>
      <c r="E19" s="40">
        <f>2780*(1/1000)</f>
        <v>2.7800000000000002</v>
      </c>
      <c r="F19" s="41">
        <f>500.962765390496*(1/1000)</f>
        <v>0.500962765390496</v>
      </c>
      <c r="G19" s="2">
        <v>15</v>
      </c>
      <c r="H19" s="40">
        <f>4750.46666666667*(1/1000)</f>
        <v>4.7504666666666697</v>
      </c>
      <c r="I19" s="40">
        <f>5370*(1/1000)</f>
        <v>5.37</v>
      </c>
      <c r="J19" s="40">
        <f>3058*(1/1000)</f>
        <v>3.0580000000000003</v>
      </c>
      <c r="K19" s="41">
        <f>587.172749789395*(1/1000)</f>
        <v>0.58717274978939493</v>
      </c>
      <c r="L19" s="2">
        <v>17</v>
      </c>
      <c r="M19" s="40">
        <f>3843.23529411765*(1/1000)</f>
        <v>3.8432352941176502</v>
      </c>
      <c r="N19" s="40">
        <f>4410*(1/1000)</f>
        <v>4.41</v>
      </c>
      <c r="O19" s="40">
        <f>3228*(1/1000)</f>
        <v>3.2280000000000002</v>
      </c>
      <c r="P19" s="41">
        <f>318.524043325571*(1/1000)</f>
        <v>0.31852404332557099</v>
      </c>
      <c r="Q19" s="49">
        <v>14</v>
      </c>
      <c r="R19" s="40">
        <f>5332.14285714286*(1/1000)</f>
        <v>5.33214285714286</v>
      </c>
      <c r="S19" s="40">
        <f>5650*(1/1000)</f>
        <v>5.65</v>
      </c>
      <c r="T19" s="40">
        <f>5130*(1/1000)</f>
        <v>5.13</v>
      </c>
      <c r="U19" s="41">
        <f>171.247844295411*(1/1000)</f>
        <v>0.17124784429541101</v>
      </c>
    </row>
    <row r="20" spans="1:21">
      <c r="A20" s="67" t="s">
        <v>9</v>
      </c>
      <c r="B20" s="2">
        <v>19</v>
      </c>
      <c r="C20" s="40">
        <f>2070.59090909091*(1/1000)</f>
        <v>2.0705909090909098</v>
      </c>
      <c r="D20" s="40">
        <f>3395*(1/1000)</f>
        <v>3.395</v>
      </c>
      <c r="E20" s="40">
        <f>1066*(1/1000)</f>
        <v>1.0660000000000001</v>
      </c>
      <c r="F20" s="41">
        <f>882.993658623657*(1/1000)</f>
        <v>0.88299365862365697</v>
      </c>
      <c r="G20" s="2">
        <v>0</v>
      </c>
      <c r="H20" s="42" t="s">
        <v>59</v>
      </c>
      <c r="I20" s="42" t="s">
        <v>59</v>
      </c>
      <c r="J20" s="42" t="s">
        <v>59</v>
      </c>
      <c r="K20" s="43" t="s">
        <v>59</v>
      </c>
      <c r="L20" s="2">
        <v>0</v>
      </c>
      <c r="M20" s="46" t="s">
        <v>27</v>
      </c>
      <c r="N20" s="46" t="s">
        <v>25</v>
      </c>
      <c r="O20" s="46" t="s">
        <v>25</v>
      </c>
      <c r="P20" s="43" t="s">
        <v>25</v>
      </c>
      <c r="Q20" s="2">
        <v>0</v>
      </c>
      <c r="R20" s="42" t="s">
        <v>59</v>
      </c>
      <c r="S20" s="42" t="s">
        <v>59</v>
      </c>
      <c r="T20" s="42" t="s">
        <v>59</v>
      </c>
      <c r="U20" s="43" t="s">
        <v>59</v>
      </c>
    </row>
    <row r="21" spans="1:21">
      <c r="A21" s="67" t="s">
        <v>10</v>
      </c>
      <c r="B21" s="2">
        <v>51</v>
      </c>
      <c r="C21" s="40">
        <f>2843.88461538462*(1/1000)</f>
        <v>2.8438846153846198</v>
      </c>
      <c r="D21" s="40">
        <f>4551*(1/1000)</f>
        <v>4.5510000000000002</v>
      </c>
      <c r="E21" s="40">
        <f>1054*(1/1000)</f>
        <v>1.054</v>
      </c>
      <c r="F21" s="41">
        <f>846.949169018992*(1/1000)</f>
        <v>0.84694916901899209</v>
      </c>
      <c r="G21" s="2">
        <v>64</v>
      </c>
      <c r="H21" s="40">
        <f>3425.578125*(1/1000)</f>
        <v>3.4255781249999999</v>
      </c>
      <c r="I21" s="40">
        <f>4246*(1/1000)</f>
        <v>4.2460000000000004</v>
      </c>
      <c r="J21" s="40">
        <f>1684*(1/1000)</f>
        <v>1.6839999999999999</v>
      </c>
      <c r="K21" s="41">
        <f>523.739933181657*(1/1000)</f>
        <v>0.52373993318165701</v>
      </c>
      <c r="L21" s="2">
        <v>60</v>
      </c>
      <c r="M21" s="40">
        <f>3946.09803921569*(1/1000)</f>
        <v>3.9460980392156899</v>
      </c>
      <c r="N21" s="40">
        <f>7930*(1/1000)</f>
        <v>7.9300000000000006</v>
      </c>
      <c r="O21" s="40">
        <f>496*(1/1000)</f>
        <v>0.496</v>
      </c>
      <c r="P21" s="41">
        <f>1619.30509752488*(1/1000)</f>
        <v>1.6193050975248799</v>
      </c>
      <c r="Q21" s="49">
        <v>42</v>
      </c>
      <c r="R21" s="40">
        <f>4414.75*(1/1000)</f>
        <v>4.4147499999999997</v>
      </c>
      <c r="S21" s="40">
        <f>6550*(1/1000)</f>
        <v>6.55</v>
      </c>
      <c r="T21" s="40">
        <f>1235*(1/1000)</f>
        <v>1.2350000000000001</v>
      </c>
      <c r="U21" s="41">
        <f>793.118180914189*(1/1000)</f>
        <v>0.79311818091418906</v>
      </c>
    </row>
    <row r="22" spans="1:21">
      <c r="A22" s="67" t="s">
        <v>11</v>
      </c>
      <c r="B22" s="2">
        <v>23</v>
      </c>
      <c r="C22" s="40">
        <f>1577.625*(1/1000)</f>
        <v>1.5776250000000001</v>
      </c>
      <c r="D22" s="40">
        <f>2016*(1/1000)</f>
        <v>2.016</v>
      </c>
      <c r="E22" s="40">
        <f>1007*(1/1000)</f>
        <v>1.0070000000000001</v>
      </c>
      <c r="F22" s="41">
        <f>300.964556105234*(1/1000)</f>
        <v>0.30096455610523404</v>
      </c>
      <c r="G22" s="2">
        <v>24</v>
      </c>
      <c r="H22" s="40">
        <f>1834.60714285714*(1/1000)</f>
        <v>1.83460714285714</v>
      </c>
      <c r="I22" s="40">
        <f>2420*(1/1000)</f>
        <v>2.42</v>
      </c>
      <c r="J22" s="40">
        <f>1254*(1/1000)</f>
        <v>1.254</v>
      </c>
      <c r="K22" s="41">
        <f>420.830129848619*(1/1000)</f>
        <v>0.42083012984861901</v>
      </c>
      <c r="L22" s="2">
        <v>0</v>
      </c>
      <c r="M22" s="42" t="s">
        <v>59</v>
      </c>
      <c r="N22" s="42" t="s">
        <v>59</v>
      </c>
      <c r="O22" s="42" t="s">
        <v>59</v>
      </c>
      <c r="P22" s="43" t="s">
        <v>59</v>
      </c>
      <c r="Q22" s="2">
        <v>0</v>
      </c>
      <c r="R22" s="42" t="s">
        <v>59</v>
      </c>
      <c r="S22" s="42" t="s">
        <v>59</v>
      </c>
      <c r="T22" s="42" t="s">
        <v>59</v>
      </c>
      <c r="U22" s="43" t="s">
        <v>59</v>
      </c>
    </row>
    <row r="23" spans="1:21">
      <c r="A23" s="67" t="s">
        <v>14</v>
      </c>
      <c r="B23" s="2">
        <v>0</v>
      </c>
      <c r="C23" s="42" t="s">
        <v>23</v>
      </c>
      <c r="D23" s="42" t="s">
        <v>23</v>
      </c>
      <c r="E23" s="42" t="s">
        <v>23</v>
      </c>
      <c r="F23" s="43" t="s">
        <v>23</v>
      </c>
      <c r="G23" s="2">
        <v>0</v>
      </c>
      <c r="H23" s="42" t="s">
        <v>59</v>
      </c>
      <c r="I23" s="42" t="s">
        <v>59</v>
      </c>
      <c r="J23" s="42" t="s">
        <v>59</v>
      </c>
      <c r="K23" s="43" t="s">
        <v>59</v>
      </c>
      <c r="L23" s="2">
        <v>0</v>
      </c>
      <c r="M23" s="46" t="s">
        <v>24</v>
      </c>
      <c r="N23" s="46" t="s">
        <v>24</v>
      </c>
      <c r="O23" s="46" t="s">
        <v>24</v>
      </c>
      <c r="P23" s="47" t="s">
        <v>24</v>
      </c>
      <c r="Q23" s="2">
        <v>0</v>
      </c>
      <c r="R23" s="42" t="s">
        <v>59</v>
      </c>
      <c r="S23" s="42" t="s">
        <v>59</v>
      </c>
      <c r="T23" s="42" t="s">
        <v>59</v>
      </c>
      <c r="U23" s="43" t="s">
        <v>59</v>
      </c>
    </row>
    <row r="24" spans="1:21">
      <c r="A24" s="67" t="s">
        <v>15</v>
      </c>
      <c r="B24" s="2">
        <v>4</v>
      </c>
      <c r="C24" s="44">
        <f>1441.25*(1/1000)</f>
        <v>1.4412499999999999</v>
      </c>
      <c r="D24" s="44">
        <f>1498*(1/1000)</f>
        <v>1.498</v>
      </c>
      <c r="E24" s="44">
        <f>1368*(1/1000)</f>
        <v>1.3680000000000001</v>
      </c>
      <c r="F24" s="41">
        <f>63.6834620080703*(1/1000)</f>
        <v>6.3683462008070305E-2</v>
      </c>
      <c r="G24" s="2">
        <v>12</v>
      </c>
      <c r="H24" s="44">
        <f>4579.53846153846*(1/1000)</f>
        <v>4.5795384615384602</v>
      </c>
      <c r="I24" s="44">
        <f>11500*(1/1000)</f>
        <v>11.5</v>
      </c>
      <c r="J24" s="44">
        <f>2860*(1/1000)</f>
        <v>2.86</v>
      </c>
      <c r="K24" s="41">
        <f>2307.2674536265*(1/1000)</f>
        <v>2.3072674536264999</v>
      </c>
      <c r="L24" s="2">
        <v>16</v>
      </c>
      <c r="M24" s="44">
        <f>5641.4375*(1/1000)</f>
        <v>5.6414375000000003</v>
      </c>
      <c r="N24" s="44">
        <f>10500*(1/1000)</f>
        <v>10.5</v>
      </c>
      <c r="O24" s="44">
        <f>3140*(1/1000)</f>
        <v>3.14</v>
      </c>
      <c r="P24" s="41">
        <f>2233.75543181582*(1/1000)</f>
        <v>2.2337554318158199</v>
      </c>
      <c r="Q24" s="2">
        <v>0</v>
      </c>
      <c r="R24" s="42" t="s">
        <v>59</v>
      </c>
      <c r="S24" s="42" t="s">
        <v>59</v>
      </c>
      <c r="T24" s="42" t="s">
        <v>59</v>
      </c>
      <c r="U24" s="43" t="s">
        <v>59</v>
      </c>
    </row>
    <row r="25" spans="1:21">
      <c r="A25" s="67" t="s">
        <v>16</v>
      </c>
      <c r="B25" s="2">
        <v>0</v>
      </c>
      <c r="C25" s="45" t="s">
        <v>13</v>
      </c>
      <c r="D25" s="45" t="s">
        <v>13</v>
      </c>
      <c r="E25" s="45" t="s">
        <v>13</v>
      </c>
      <c r="F25" s="43" t="s">
        <v>13</v>
      </c>
      <c r="G25" s="2">
        <v>0</v>
      </c>
      <c r="H25" s="45" t="s">
        <v>23</v>
      </c>
      <c r="I25" s="45" t="s">
        <v>23</v>
      </c>
      <c r="J25" s="45" t="s">
        <v>23</v>
      </c>
      <c r="K25" s="43" t="s">
        <v>23</v>
      </c>
      <c r="L25" s="2">
        <v>0</v>
      </c>
      <c r="M25" s="45" t="s">
        <v>23</v>
      </c>
      <c r="N25" s="45" t="s">
        <v>23</v>
      </c>
      <c r="O25" s="45" t="s">
        <v>23</v>
      </c>
      <c r="P25" s="43" t="s">
        <v>23</v>
      </c>
      <c r="Q25" s="50">
        <v>0</v>
      </c>
      <c r="R25" s="45" t="s">
        <v>23</v>
      </c>
      <c r="S25" s="45" t="s">
        <v>23</v>
      </c>
      <c r="T25" s="45" t="s">
        <v>23</v>
      </c>
      <c r="U25" s="43" t="s">
        <v>23</v>
      </c>
    </row>
    <row r="26" spans="1:21">
      <c r="A26" s="67" t="s">
        <v>17</v>
      </c>
      <c r="B26" s="2">
        <v>0</v>
      </c>
      <c r="C26" s="45" t="s">
        <v>13</v>
      </c>
      <c r="D26" s="45" t="s">
        <v>13</v>
      </c>
      <c r="E26" s="45" t="s">
        <v>13</v>
      </c>
      <c r="F26" s="43" t="s">
        <v>13</v>
      </c>
      <c r="G26" s="2">
        <v>9</v>
      </c>
      <c r="H26" s="44">
        <f>1406.55555555556*(1/1000)</f>
        <v>1.40655555555556</v>
      </c>
      <c r="I26" s="44">
        <f>2210*(1/1000)</f>
        <v>2.21</v>
      </c>
      <c r="J26" s="44">
        <f>605*(1/1000)</f>
        <v>0.60499999999999998</v>
      </c>
      <c r="K26" s="41">
        <f>473.206379688374*(1/1000)</f>
        <v>0.47320637968837403</v>
      </c>
      <c r="L26" s="2">
        <v>9</v>
      </c>
      <c r="M26" s="44">
        <f>1345*(1/1000)</f>
        <v>1.345</v>
      </c>
      <c r="N26" s="44">
        <f>1850*(1/1000)</f>
        <v>1.85</v>
      </c>
      <c r="O26" s="44">
        <f>1196*(1/1000)</f>
        <v>1.196</v>
      </c>
      <c r="P26" s="41">
        <f>264.61855970974*(1/1000)</f>
        <v>0.26461855970974002</v>
      </c>
      <c r="Q26" s="49">
        <v>1</v>
      </c>
      <c r="R26" s="44">
        <f>1985*(1/1000)</f>
        <v>1.9850000000000001</v>
      </c>
      <c r="S26" s="44">
        <f>1985*(1/1000)</f>
        <v>1.9850000000000001</v>
      </c>
      <c r="T26" s="44">
        <f>1985*(1/1000)</f>
        <v>1.9850000000000001</v>
      </c>
      <c r="U26" s="43" t="s">
        <v>21</v>
      </c>
    </row>
    <row r="27" spans="1:21">
      <c r="A27" s="67" t="s">
        <v>55</v>
      </c>
      <c r="B27" s="2">
        <v>39</v>
      </c>
      <c r="C27" s="44">
        <f>1727.03846153846*(1/1000)</f>
        <v>1.7270384615384602</v>
      </c>
      <c r="D27" s="44">
        <f>2728*(1/1000)</f>
        <v>2.7280000000000002</v>
      </c>
      <c r="E27" s="44">
        <f>628*(1/1000)</f>
        <v>0.628</v>
      </c>
      <c r="F27" s="41">
        <f>505.298409982561*(1/1000)</f>
        <v>0.50529840998256104</v>
      </c>
      <c r="G27" s="2">
        <v>47</v>
      </c>
      <c r="H27" s="44">
        <f>2000.08333333333*(1/1000)</f>
        <v>2.0000833333333303</v>
      </c>
      <c r="I27" s="44">
        <f>2882*(1/1000)</f>
        <v>2.8820000000000001</v>
      </c>
      <c r="J27" s="44">
        <f>1185*(1/1000)</f>
        <v>1.1850000000000001</v>
      </c>
      <c r="K27" s="41">
        <f>513.634086702904*(1/1000)</f>
        <v>0.513634086702904</v>
      </c>
      <c r="L27" s="2">
        <v>51</v>
      </c>
      <c r="M27" s="44">
        <f>2693.15740740741*(1/1000)</f>
        <v>2.6931574074074103</v>
      </c>
      <c r="N27" s="44">
        <f>5250*(1/1000)</f>
        <v>5.25</v>
      </c>
      <c r="O27" s="44">
        <f>1082*(1/1000)</f>
        <v>1.0820000000000001</v>
      </c>
      <c r="P27" s="41">
        <f>1097.4139144406*(1/1000)</f>
        <v>1.0974139144405999</v>
      </c>
      <c r="Q27" s="49">
        <v>45</v>
      </c>
      <c r="R27" s="44">
        <f>2384.6*(1/1000)</f>
        <v>2.3845999999999998</v>
      </c>
      <c r="S27" s="44">
        <f>4018*(1/1000)</f>
        <v>4.0179999999999998</v>
      </c>
      <c r="T27" s="44">
        <f>900*(1/1000)</f>
        <v>0.9</v>
      </c>
      <c r="U27" s="41">
        <f>1035.18938539591*(1/1000)</f>
        <v>1.03518938539591</v>
      </c>
    </row>
    <row r="28" spans="1:21">
      <c r="A28" s="67" t="s">
        <v>39</v>
      </c>
      <c r="B28" s="2">
        <v>0</v>
      </c>
      <c r="C28" s="1" t="s">
        <v>13</v>
      </c>
      <c r="D28" s="1" t="s">
        <v>13</v>
      </c>
      <c r="E28" s="1" t="s">
        <v>13</v>
      </c>
      <c r="F28" s="4" t="s">
        <v>13</v>
      </c>
      <c r="G28" s="2">
        <v>0</v>
      </c>
      <c r="H28" s="1" t="s">
        <v>13</v>
      </c>
      <c r="I28" s="1" t="s">
        <v>13</v>
      </c>
      <c r="J28" s="1" t="s">
        <v>13</v>
      </c>
      <c r="K28" s="4" t="s">
        <v>13</v>
      </c>
      <c r="L28" s="2">
        <v>0</v>
      </c>
      <c r="M28" s="1" t="s">
        <v>13</v>
      </c>
      <c r="N28" s="1" t="s">
        <v>13</v>
      </c>
      <c r="O28" s="1" t="s">
        <v>13</v>
      </c>
      <c r="P28" s="4" t="s">
        <v>13</v>
      </c>
      <c r="Q28" s="51">
        <v>0</v>
      </c>
      <c r="R28" s="1" t="s">
        <v>23</v>
      </c>
      <c r="S28" s="1" t="s">
        <v>23</v>
      </c>
      <c r="T28" s="1" t="s">
        <v>23</v>
      </c>
      <c r="U28" s="4" t="s">
        <v>23</v>
      </c>
    </row>
    <row r="29" spans="1:21">
      <c r="A29" s="67" t="s">
        <v>40</v>
      </c>
      <c r="B29" s="2">
        <v>0</v>
      </c>
      <c r="C29" s="1" t="s">
        <v>13</v>
      </c>
      <c r="D29" s="1" t="s">
        <v>13</v>
      </c>
      <c r="E29" s="1" t="s">
        <v>13</v>
      </c>
      <c r="F29" s="4" t="s">
        <v>13</v>
      </c>
      <c r="G29" s="51">
        <v>0</v>
      </c>
      <c r="H29" s="1" t="s">
        <v>13</v>
      </c>
      <c r="I29" s="1" t="s">
        <v>13</v>
      </c>
      <c r="J29" s="1" t="s">
        <v>13</v>
      </c>
      <c r="K29" s="4" t="s">
        <v>13</v>
      </c>
      <c r="L29" s="51">
        <v>0</v>
      </c>
      <c r="M29" s="1" t="s">
        <v>13</v>
      </c>
      <c r="N29" s="1" t="s">
        <v>13</v>
      </c>
      <c r="O29" s="1" t="s">
        <v>13</v>
      </c>
      <c r="P29" s="4" t="s">
        <v>13</v>
      </c>
      <c r="Q29" s="51">
        <v>0</v>
      </c>
      <c r="R29" s="1" t="s">
        <v>23</v>
      </c>
      <c r="S29" s="1" t="s">
        <v>23</v>
      </c>
      <c r="T29" s="1" t="s">
        <v>23</v>
      </c>
      <c r="U29" s="4" t="s">
        <v>23</v>
      </c>
    </row>
    <row r="30" spans="1:21">
      <c r="A30" s="67" t="s">
        <v>41</v>
      </c>
      <c r="B30" s="2">
        <v>0</v>
      </c>
      <c r="C30" s="1" t="s">
        <v>13</v>
      </c>
      <c r="D30" s="1" t="s">
        <v>13</v>
      </c>
      <c r="E30" s="1" t="s">
        <v>13</v>
      </c>
      <c r="F30" s="4" t="s">
        <v>13</v>
      </c>
      <c r="G30" s="51">
        <v>0</v>
      </c>
      <c r="H30" s="1" t="s">
        <v>13</v>
      </c>
      <c r="I30" s="1" t="s">
        <v>13</v>
      </c>
      <c r="J30" s="1" t="s">
        <v>13</v>
      </c>
      <c r="K30" s="4" t="s">
        <v>13</v>
      </c>
      <c r="L30" s="51">
        <v>0</v>
      </c>
      <c r="M30" s="1" t="s">
        <v>13</v>
      </c>
      <c r="N30" s="1" t="s">
        <v>13</v>
      </c>
      <c r="O30" s="1" t="s">
        <v>13</v>
      </c>
      <c r="P30" s="4" t="s">
        <v>13</v>
      </c>
      <c r="Q30" s="51">
        <v>0</v>
      </c>
      <c r="R30" s="1" t="s">
        <v>23</v>
      </c>
      <c r="S30" s="1" t="s">
        <v>23</v>
      </c>
      <c r="T30" s="1" t="s">
        <v>23</v>
      </c>
      <c r="U30" s="4" t="s">
        <v>23</v>
      </c>
    </row>
    <row r="31" spans="1:21">
      <c r="A31" s="67" t="s">
        <v>42</v>
      </c>
      <c r="B31" s="2">
        <v>0</v>
      </c>
      <c r="C31" s="1" t="s">
        <v>13</v>
      </c>
      <c r="D31" s="1" t="s">
        <v>13</v>
      </c>
      <c r="E31" s="1" t="s">
        <v>13</v>
      </c>
      <c r="F31" s="4" t="s">
        <v>13</v>
      </c>
      <c r="G31" s="51">
        <v>0</v>
      </c>
      <c r="H31" s="1" t="s">
        <v>13</v>
      </c>
      <c r="I31" s="1" t="s">
        <v>13</v>
      </c>
      <c r="J31" s="1" t="s">
        <v>13</v>
      </c>
      <c r="K31" s="4" t="s">
        <v>13</v>
      </c>
      <c r="L31" s="51">
        <v>0</v>
      </c>
      <c r="M31" s="1" t="s">
        <v>13</v>
      </c>
      <c r="N31" s="1" t="s">
        <v>13</v>
      </c>
      <c r="O31" s="1" t="s">
        <v>13</v>
      </c>
      <c r="P31" s="4" t="s">
        <v>13</v>
      </c>
      <c r="Q31" s="51">
        <v>0</v>
      </c>
      <c r="R31" s="1" t="s">
        <v>23</v>
      </c>
      <c r="S31" s="1" t="s">
        <v>23</v>
      </c>
      <c r="T31" s="1" t="s">
        <v>23</v>
      </c>
      <c r="U31" s="4" t="s">
        <v>23</v>
      </c>
    </row>
    <row r="32" spans="1:21">
      <c r="A32" s="67" t="s">
        <v>43</v>
      </c>
      <c r="B32" s="2">
        <v>0</v>
      </c>
      <c r="C32" s="1" t="s">
        <v>13</v>
      </c>
      <c r="D32" s="1" t="s">
        <v>13</v>
      </c>
      <c r="E32" s="1" t="s">
        <v>13</v>
      </c>
      <c r="F32" s="4" t="s">
        <v>13</v>
      </c>
      <c r="G32" s="51">
        <v>0</v>
      </c>
      <c r="H32" s="1" t="s">
        <v>13</v>
      </c>
      <c r="I32" s="1" t="s">
        <v>13</v>
      </c>
      <c r="J32" s="1" t="s">
        <v>13</v>
      </c>
      <c r="K32" s="4" t="s">
        <v>13</v>
      </c>
      <c r="L32" s="51">
        <v>0</v>
      </c>
      <c r="M32" s="1" t="s">
        <v>13</v>
      </c>
      <c r="N32" s="1" t="s">
        <v>13</v>
      </c>
      <c r="O32" s="1" t="s">
        <v>13</v>
      </c>
      <c r="P32" s="4" t="s">
        <v>13</v>
      </c>
      <c r="Q32" s="51">
        <v>0</v>
      </c>
      <c r="R32" s="1" t="s">
        <v>23</v>
      </c>
      <c r="S32" s="1" t="s">
        <v>23</v>
      </c>
      <c r="T32" s="1" t="s">
        <v>23</v>
      </c>
      <c r="U32" s="4" t="s">
        <v>23</v>
      </c>
    </row>
    <row r="33" spans="1:28">
      <c r="A33" s="67" t="s">
        <v>44</v>
      </c>
      <c r="B33" s="2">
        <v>0</v>
      </c>
      <c r="C33" s="1" t="s">
        <v>13</v>
      </c>
      <c r="D33" s="1" t="s">
        <v>13</v>
      </c>
      <c r="E33" s="1" t="s">
        <v>13</v>
      </c>
      <c r="F33" s="4" t="s">
        <v>13</v>
      </c>
      <c r="G33" s="51">
        <v>0</v>
      </c>
      <c r="H33" s="1" t="s">
        <v>13</v>
      </c>
      <c r="I33" s="1" t="s">
        <v>13</v>
      </c>
      <c r="J33" s="1" t="s">
        <v>13</v>
      </c>
      <c r="K33" s="4" t="s">
        <v>13</v>
      </c>
      <c r="L33" s="51">
        <v>0</v>
      </c>
      <c r="M33" s="1" t="s">
        <v>13</v>
      </c>
      <c r="N33" s="1" t="s">
        <v>13</v>
      </c>
      <c r="O33" s="1" t="s">
        <v>13</v>
      </c>
      <c r="P33" s="4" t="s">
        <v>13</v>
      </c>
      <c r="Q33" s="51">
        <v>0</v>
      </c>
      <c r="R33" s="1" t="s">
        <v>23</v>
      </c>
      <c r="S33" s="1" t="s">
        <v>23</v>
      </c>
      <c r="T33" s="1" t="s">
        <v>23</v>
      </c>
      <c r="U33" s="4" t="s">
        <v>23</v>
      </c>
    </row>
    <row r="34" spans="1:28">
      <c r="A34" s="67" t="s">
        <v>45</v>
      </c>
      <c r="B34" s="2">
        <v>0</v>
      </c>
      <c r="C34" s="1" t="s">
        <v>13</v>
      </c>
      <c r="D34" s="1" t="s">
        <v>13</v>
      </c>
      <c r="E34" s="1" t="s">
        <v>13</v>
      </c>
      <c r="F34" s="4" t="s">
        <v>13</v>
      </c>
      <c r="G34" s="51">
        <v>0</v>
      </c>
      <c r="H34" s="1" t="s">
        <v>13</v>
      </c>
      <c r="I34" s="1" t="s">
        <v>13</v>
      </c>
      <c r="J34" s="1" t="s">
        <v>13</v>
      </c>
      <c r="K34" s="4" t="s">
        <v>13</v>
      </c>
      <c r="L34" s="51">
        <v>0</v>
      </c>
      <c r="M34" s="1" t="s">
        <v>13</v>
      </c>
      <c r="N34" s="1" t="s">
        <v>13</v>
      </c>
      <c r="O34" s="1" t="s">
        <v>13</v>
      </c>
      <c r="P34" s="4" t="s">
        <v>13</v>
      </c>
      <c r="Q34" s="51">
        <v>0</v>
      </c>
      <c r="R34" s="1" t="s">
        <v>23</v>
      </c>
      <c r="S34" s="1" t="s">
        <v>23</v>
      </c>
      <c r="T34" s="1" t="s">
        <v>23</v>
      </c>
      <c r="U34" s="4" t="s">
        <v>23</v>
      </c>
    </row>
    <row r="35" spans="1:28">
      <c r="A35" s="67" t="s">
        <v>46</v>
      </c>
      <c r="B35" s="100">
        <v>0</v>
      </c>
      <c r="C35" s="2" t="s">
        <v>13</v>
      </c>
      <c r="D35" s="2" t="s">
        <v>13</v>
      </c>
      <c r="E35" s="2" t="s">
        <v>13</v>
      </c>
      <c r="F35" s="4" t="s">
        <v>13</v>
      </c>
      <c r="G35" s="51">
        <v>0</v>
      </c>
      <c r="H35" s="2" t="s">
        <v>13</v>
      </c>
      <c r="I35" s="2" t="s">
        <v>13</v>
      </c>
      <c r="J35" s="2" t="s">
        <v>13</v>
      </c>
      <c r="K35" s="4" t="s">
        <v>13</v>
      </c>
      <c r="L35" s="51">
        <v>0</v>
      </c>
      <c r="M35" s="2" t="s">
        <v>13</v>
      </c>
      <c r="N35" s="2" t="s">
        <v>13</v>
      </c>
      <c r="O35" s="2" t="s">
        <v>13</v>
      </c>
      <c r="P35" s="4" t="s">
        <v>13</v>
      </c>
      <c r="Q35" s="51">
        <v>0</v>
      </c>
      <c r="R35" s="1" t="s">
        <v>23</v>
      </c>
      <c r="S35" s="1" t="s">
        <v>23</v>
      </c>
      <c r="T35" s="1" t="s">
        <v>23</v>
      </c>
      <c r="U35" s="4" t="s">
        <v>23</v>
      </c>
    </row>
    <row r="36" spans="1:28">
      <c r="A36" s="67" t="s">
        <v>47</v>
      </c>
      <c r="B36" s="101">
        <v>0</v>
      </c>
      <c r="C36" s="2" t="s">
        <v>13</v>
      </c>
      <c r="D36" s="2" t="s">
        <v>13</v>
      </c>
      <c r="E36" s="2" t="s">
        <v>13</v>
      </c>
      <c r="F36" s="4" t="s">
        <v>13</v>
      </c>
      <c r="G36" s="51">
        <v>0</v>
      </c>
      <c r="H36" s="2" t="s">
        <v>13</v>
      </c>
      <c r="I36" s="2" t="s">
        <v>13</v>
      </c>
      <c r="J36" s="2" t="s">
        <v>13</v>
      </c>
      <c r="K36" s="4" t="s">
        <v>13</v>
      </c>
      <c r="L36" s="51">
        <v>0</v>
      </c>
      <c r="M36" s="2" t="s">
        <v>13</v>
      </c>
      <c r="N36" s="2" t="s">
        <v>13</v>
      </c>
      <c r="O36" s="2" t="s">
        <v>13</v>
      </c>
      <c r="P36" s="4" t="s">
        <v>13</v>
      </c>
      <c r="Q36" s="51">
        <v>0</v>
      </c>
      <c r="R36" s="1" t="s">
        <v>23</v>
      </c>
      <c r="S36" s="1" t="s">
        <v>23</v>
      </c>
      <c r="T36" s="1" t="s">
        <v>23</v>
      </c>
      <c r="U36" s="4" t="s">
        <v>23</v>
      </c>
    </row>
    <row r="37" spans="1:28" ht="15.75" thickBot="1">
      <c r="A37" s="68" t="s">
        <v>57</v>
      </c>
      <c r="B37" s="82">
        <v>0</v>
      </c>
      <c r="C37" s="71" t="s">
        <v>59</v>
      </c>
      <c r="D37" s="71" t="s">
        <v>59</v>
      </c>
      <c r="E37" s="71" t="s">
        <v>59</v>
      </c>
      <c r="F37" s="72" t="s">
        <v>59</v>
      </c>
      <c r="G37" s="27">
        <v>0</v>
      </c>
      <c r="H37" s="71" t="s">
        <v>59</v>
      </c>
      <c r="I37" s="71" t="s">
        <v>59</v>
      </c>
      <c r="J37" s="71" t="s">
        <v>59</v>
      </c>
      <c r="K37" s="72" t="s">
        <v>59</v>
      </c>
      <c r="L37" s="27">
        <v>0</v>
      </c>
      <c r="M37" s="71" t="s">
        <v>59</v>
      </c>
      <c r="N37" s="71" t="s">
        <v>59</v>
      </c>
      <c r="O37" s="71" t="s">
        <v>59</v>
      </c>
      <c r="P37" s="72" t="s">
        <v>59</v>
      </c>
      <c r="Q37" s="27">
        <v>22</v>
      </c>
      <c r="R37" s="71">
        <f>4641.68181818182*(1/1000)</f>
        <v>4.6416818181818202</v>
      </c>
      <c r="S37" s="27">
        <f>5870*(1/1000)</f>
        <v>5.87</v>
      </c>
      <c r="T37" s="71">
        <f>3283*(1/1000)</f>
        <v>3.2829999999999999</v>
      </c>
      <c r="U37" s="72">
        <f>819.685153630496*(1/1000)</f>
        <v>0.81968515363049599</v>
      </c>
    </row>
    <row r="38" spans="1:28">
      <c r="Q38" s="8"/>
    </row>
    <row r="39" spans="1:28" ht="15.75" thickBot="1">
      <c r="A39" s="8"/>
      <c r="B39" s="94">
        <v>2005</v>
      </c>
      <c r="C39" s="95"/>
      <c r="D39" s="96"/>
      <c r="E39" s="32"/>
      <c r="F39" s="94">
        <v>2006</v>
      </c>
      <c r="G39" s="95"/>
      <c r="H39" s="96"/>
      <c r="I39" s="32"/>
      <c r="J39" s="94">
        <v>2007</v>
      </c>
      <c r="K39" s="95"/>
      <c r="L39" s="96"/>
      <c r="M39" s="32"/>
      <c r="N39" s="94">
        <v>2008</v>
      </c>
      <c r="O39" s="95"/>
      <c r="P39" s="96"/>
      <c r="Q39" s="8"/>
      <c r="R39" s="53" t="s">
        <v>28</v>
      </c>
      <c r="S39" s="54" t="s">
        <v>29</v>
      </c>
      <c r="T39" s="55"/>
      <c r="U39" s="55"/>
      <c r="V39" s="55"/>
      <c r="W39" s="55"/>
      <c r="X39" s="55"/>
      <c r="Y39" s="55"/>
      <c r="Z39" s="55"/>
      <c r="AA39" s="55"/>
      <c r="AB39" s="56"/>
    </row>
    <row r="40" spans="1:28">
      <c r="A40" s="64" t="s">
        <v>12</v>
      </c>
      <c r="B40" s="66" t="s">
        <v>18</v>
      </c>
      <c r="C40" s="18" t="s">
        <v>19</v>
      </c>
      <c r="D40" s="18" t="s">
        <v>20</v>
      </c>
      <c r="E40" s="32"/>
      <c r="F40" s="18" t="s">
        <v>18</v>
      </c>
      <c r="G40" s="18" t="s">
        <v>19</v>
      </c>
      <c r="H40" s="18" t="s">
        <v>20</v>
      </c>
      <c r="I40" s="32"/>
      <c r="J40" s="18" t="s">
        <v>18</v>
      </c>
      <c r="K40" s="18" t="s">
        <v>19</v>
      </c>
      <c r="L40" s="18" t="s">
        <v>20</v>
      </c>
      <c r="M40" s="32"/>
      <c r="N40" s="18" t="s">
        <v>18</v>
      </c>
      <c r="O40" s="18" t="s">
        <v>19</v>
      </c>
      <c r="P40" s="18" t="s">
        <v>20</v>
      </c>
      <c r="Q40" s="8"/>
      <c r="S40" s="57" t="s">
        <v>32</v>
      </c>
      <c r="T40" s="58"/>
      <c r="U40" s="58"/>
      <c r="V40" s="58"/>
      <c r="W40" s="58"/>
      <c r="X40" s="58"/>
      <c r="Y40" s="58"/>
      <c r="Z40" s="58"/>
      <c r="AA40" s="58"/>
      <c r="AB40" s="59"/>
    </row>
    <row r="41" spans="1:28">
      <c r="A41" s="65" t="s">
        <v>4</v>
      </c>
      <c r="B41" s="21">
        <v>38513</v>
      </c>
      <c r="C41" s="21">
        <v>38632</v>
      </c>
      <c r="D41" s="16">
        <v>4</v>
      </c>
      <c r="E41" s="32"/>
      <c r="F41" s="20">
        <v>38829</v>
      </c>
      <c r="G41" s="21">
        <v>39010</v>
      </c>
      <c r="H41" s="6">
        <v>4</v>
      </c>
      <c r="I41" s="32"/>
      <c r="J41" s="20">
        <v>39218</v>
      </c>
      <c r="K41" s="21">
        <v>39400</v>
      </c>
      <c r="L41" s="6">
        <v>4</v>
      </c>
      <c r="M41" s="32"/>
      <c r="N41" s="20">
        <v>39525</v>
      </c>
      <c r="O41" s="21">
        <v>39746</v>
      </c>
      <c r="P41" s="16">
        <v>4</v>
      </c>
      <c r="Q41" s="8"/>
      <c r="S41" s="57" t="s">
        <v>33</v>
      </c>
      <c r="T41" s="58"/>
      <c r="U41" s="58"/>
      <c r="V41" s="58"/>
      <c r="W41" s="58"/>
      <c r="X41" s="58"/>
      <c r="Y41" s="58"/>
      <c r="Z41" s="58"/>
      <c r="AA41" s="58"/>
      <c r="AB41" s="59"/>
    </row>
    <row r="42" spans="1:28">
      <c r="A42" s="65" t="s">
        <v>5</v>
      </c>
      <c r="B42" s="23">
        <v>38513</v>
      </c>
      <c r="C42" s="23">
        <v>38632</v>
      </c>
      <c r="D42" s="14">
        <v>4</v>
      </c>
      <c r="E42" s="32"/>
      <c r="F42" s="24">
        <v>38829</v>
      </c>
      <c r="G42" s="25">
        <v>39010</v>
      </c>
      <c r="H42" s="14">
        <v>4</v>
      </c>
      <c r="I42" s="32"/>
      <c r="J42" s="24">
        <v>39161</v>
      </c>
      <c r="K42" s="25">
        <v>39400</v>
      </c>
      <c r="L42" s="26">
        <v>4</v>
      </c>
      <c r="M42" s="32"/>
      <c r="N42" s="24">
        <v>39525</v>
      </c>
      <c r="O42" s="25">
        <v>39746</v>
      </c>
      <c r="P42" s="26">
        <v>4</v>
      </c>
      <c r="Q42" s="8"/>
      <c r="S42" s="60" t="s">
        <v>30</v>
      </c>
      <c r="T42" s="61"/>
      <c r="U42" s="61"/>
      <c r="V42" s="61"/>
      <c r="W42" s="61"/>
      <c r="X42" s="61"/>
      <c r="Y42" s="61"/>
      <c r="Z42" s="61"/>
      <c r="AA42" s="61"/>
      <c r="AB42" s="62"/>
    </row>
    <row r="43" spans="1:28">
      <c r="A43" s="65" t="s">
        <v>6</v>
      </c>
      <c r="B43" s="23">
        <v>38527</v>
      </c>
      <c r="C43" s="23">
        <v>38632</v>
      </c>
      <c r="D43" s="14">
        <v>2</v>
      </c>
      <c r="E43" s="32"/>
      <c r="F43" s="24">
        <v>38829</v>
      </c>
      <c r="G43" s="25">
        <v>39010</v>
      </c>
      <c r="H43" s="14">
        <v>2</v>
      </c>
      <c r="I43" s="32"/>
      <c r="J43" s="28">
        <v>39219</v>
      </c>
      <c r="K43" s="25">
        <v>39400</v>
      </c>
      <c r="L43" s="14">
        <v>2</v>
      </c>
      <c r="M43" s="13"/>
      <c r="N43" s="17" t="s">
        <v>13</v>
      </c>
      <c r="O43" s="13" t="s">
        <v>13</v>
      </c>
      <c r="P43" s="14">
        <v>0</v>
      </c>
      <c r="Q43" s="8"/>
    </row>
    <row r="44" spans="1:28">
      <c r="A44" s="67" t="s">
        <v>54</v>
      </c>
      <c r="B44" s="2" t="s">
        <v>59</v>
      </c>
      <c r="C44" s="2" t="s">
        <v>59</v>
      </c>
      <c r="D44" s="14">
        <v>0</v>
      </c>
      <c r="E44" s="32"/>
      <c r="F44" s="22">
        <v>38829</v>
      </c>
      <c r="G44" s="25">
        <v>39010</v>
      </c>
      <c r="H44" s="14">
        <v>3</v>
      </c>
      <c r="I44" s="32"/>
      <c r="J44" s="22">
        <v>39189</v>
      </c>
      <c r="K44" s="25">
        <v>39372</v>
      </c>
      <c r="L44" s="14">
        <v>3</v>
      </c>
      <c r="M44" s="32"/>
      <c r="N44" s="22">
        <v>39525</v>
      </c>
      <c r="O44" s="25">
        <v>39746</v>
      </c>
      <c r="P44" s="14">
        <v>2</v>
      </c>
      <c r="Q44" s="8"/>
    </row>
    <row r="45" spans="1:28">
      <c r="A45" s="65" t="s">
        <v>48</v>
      </c>
      <c r="B45" s="2" t="s">
        <v>59</v>
      </c>
      <c r="C45" s="2" t="s">
        <v>59</v>
      </c>
      <c r="D45" s="14">
        <v>0</v>
      </c>
      <c r="E45" s="32"/>
      <c r="F45" s="5" t="s">
        <v>59</v>
      </c>
      <c r="G45" s="2" t="s">
        <v>59</v>
      </c>
      <c r="H45" s="14">
        <v>0</v>
      </c>
      <c r="I45" s="32"/>
      <c r="J45" s="5" t="s">
        <v>59</v>
      </c>
      <c r="K45" s="2" t="s">
        <v>59</v>
      </c>
      <c r="L45" s="14">
        <v>0</v>
      </c>
      <c r="M45" s="32"/>
      <c r="N45" s="22">
        <v>39525</v>
      </c>
      <c r="O45" s="25">
        <v>39746</v>
      </c>
      <c r="P45" s="14">
        <v>1</v>
      </c>
      <c r="Q45" s="8"/>
    </row>
    <row r="46" spans="1:28">
      <c r="A46" s="65" t="s">
        <v>37</v>
      </c>
      <c r="B46" s="23">
        <v>38513</v>
      </c>
      <c r="C46" s="25">
        <v>38632</v>
      </c>
      <c r="D46" s="14">
        <v>3</v>
      </c>
      <c r="E46" s="32"/>
      <c r="F46" s="22">
        <v>38829</v>
      </c>
      <c r="G46" s="25">
        <v>39010</v>
      </c>
      <c r="H46" s="14">
        <v>4</v>
      </c>
      <c r="I46" s="32"/>
      <c r="J46" s="22">
        <v>39161</v>
      </c>
      <c r="K46" s="25">
        <v>39371</v>
      </c>
      <c r="L46" s="14">
        <v>4</v>
      </c>
      <c r="M46" s="32"/>
      <c r="N46" s="22">
        <v>39525</v>
      </c>
      <c r="O46" s="25">
        <v>39746</v>
      </c>
      <c r="P46" s="14">
        <v>3</v>
      </c>
      <c r="Q46" s="8"/>
    </row>
    <row r="47" spans="1:28">
      <c r="A47" s="65" t="s">
        <v>38</v>
      </c>
      <c r="B47" s="5" t="s">
        <v>59</v>
      </c>
      <c r="C47" s="2" t="s">
        <v>59</v>
      </c>
      <c r="D47" s="14">
        <v>0</v>
      </c>
      <c r="E47" s="32"/>
      <c r="F47" s="5" t="s">
        <v>59</v>
      </c>
      <c r="G47" s="2" t="s">
        <v>59</v>
      </c>
      <c r="H47" s="14">
        <v>0</v>
      </c>
      <c r="I47" s="32"/>
      <c r="J47" s="5" t="s">
        <v>59</v>
      </c>
      <c r="K47" s="2" t="s">
        <v>59</v>
      </c>
      <c r="L47" s="14">
        <v>0</v>
      </c>
      <c r="M47" s="32"/>
      <c r="N47" s="22">
        <v>39525</v>
      </c>
      <c r="O47" s="25">
        <v>39746</v>
      </c>
      <c r="P47" s="14">
        <v>1</v>
      </c>
      <c r="Q47" s="8"/>
    </row>
    <row r="48" spans="1:28">
      <c r="A48" s="65" t="s">
        <v>49</v>
      </c>
      <c r="B48" s="5" t="s">
        <v>59</v>
      </c>
      <c r="C48" s="2" t="s">
        <v>59</v>
      </c>
      <c r="D48" s="14">
        <v>0</v>
      </c>
      <c r="E48" s="32"/>
      <c r="F48" s="5" t="s">
        <v>59</v>
      </c>
      <c r="G48" s="2" t="s">
        <v>59</v>
      </c>
      <c r="H48" s="14">
        <v>0</v>
      </c>
      <c r="I48" s="32"/>
      <c r="J48" s="5" t="s">
        <v>59</v>
      </c>
      <c r="K48" s="2" t="s">
        <v>59</v>
      </c>
      <c r="L48" s="14">
        <v>0</v>
      </c>
      <c r="M48" s="32"/>
      <c r="N48" s="22">
        <v>39525</v>
      </c>
      <c r="O48" s="25">
        <v>39746</v>
      </c>
      <c r="P48" s="14">
        <v>2</v>
      </c>
      <c r="Q48" s="8"/>
    </row>
    <row r="49" spans="1:25">
      <c r="A49" s="65" t="s">
        <v>50</v>
      </c>
      <c r="B49" s="22">
        <v>38513</v>
      </c>
      <c r="C49" s="25">
        <v>38632</v>
      </c>
      <c r="D49" s="14">
        <v>2</v>
      </c>
      <c r="E49" s="32"/>
      <c r="F49" s="22">
        <v>38829</v>
      </c>
      <c r="G49" s="25">
        <v>39010</v>
      </c>
      <c r="H49" s="14">
        <v>3</v>
      </c>
      <c r="I49" s="32"/>
      <c r="J49" s="22">
        <v>39161</v>
      </c>
      <c r="K49" s="25">
        <v>39371</v>
      </c>
      <c r="L49" s="14">
        <v>3</v>
      </c>
      <c r="M49" s="32"/>
      <c r="N49" s="5" t="s">
        <v>59</v>
      </c>
      <c r="O49" s="2" t="s">
        <v>59</v>
      </c>
      <c r="P49" s="14">
        <v>0</v>
      </c>
      <c r="Q49" s="8"/>
    </row>
    <row r="50" spans="1:25">
      <c r="A50" s="67" t="s">
        <v>53</v>
      </c>
      <c r="B50" s="2" t="s">
        <v>59</v>
      </c>
      <c r="C50" s="2" t="s">
        <v>59</v>
      </c>
      <c r="D50" s="14">
        <v>0</v>
      </c>
      <c r="E50" s="32"/>
      <c r="F50" s="5" t="s">
        <v>59</v>
      </c>
      <c r="G50" s="2" t="s">
        <v>59</v>
      </c>
      <c r="H50" s="14">
        <v>0</v>
      </c>
      <c r="I50" s="32"/>
      <c r="J50" s="5" t="s">
        <v>59</v>
      </c>
      <c r="K50" s="2" t="s">
        <v>59</v>
      </c>
      <c r="L50" s="14">
        <v>0</v>
      </c>
      <c r="M50" s="32"/>
      <c r="N50" s="22">
        <v>39525</v>
      </c>
      <c r="O50" s="25">
        <v>39746</v>
      </c>
      <c r="P50" s="14">
        <v>1</v>
      </c>
      <c r="Q50" s="8"/>
    </row>
    <row r="51" spans="1:25">
      <c r="A51" s="65" t="s">
        <v>58</v>
      </c>
      <c r="B51" s="23">
        <v>38513</v>
      </c>
      <c r="C51" s="25">
        <v>38632</v>
      </c>
      <c r="D51" s="3">
        <v>4</v>
      </c>
      <c r="E51" s="32"/>
      <c r="F51" s="5" t="s">
        <v>59</v>
      </c>
      <c r="G51" s="2" t="s">
        <v>59</v>
      </c>
      <c r="H51" s="14">
        <v>0</v>
      </c>
      <c r="I51" s="32"/>
      <c r="J51" s="22">
        <v>39161</v>
      </c>
      <c r="K51" s="25">
        <v>39375</v>
      </c>
      <c r="L51" s="14">
        <v>4</v>
      </c>
      <c r="M51" s="32"/>
      <c r="N51" s="5" t="s">
        <v>59</v>
      </c>
      <c r="O51" s="2" t="s">
        <v>59</v>
      </c>
      <c r="P51" s="14">
        <v>0</v>
      </c>
      <c r="Q51" s="8"/>
    </row>
    <row r="52" spans="1:25">
      <c r="A52" s="67" t="s">
        <v>56</v>
      </c>
      <c r="B52" s="2" t="s">
        <v>59</v>
      </c>
      <c r="C52" s="2" t="s">
        <v>59</v>
      </c>
      <c r="D52" s="14">
        <v>0</v>
      </c>
      <c r="E52" s="32"/>
      <c r="F52" s="5" t="s">
        <v>59</v>
      </c>
      <c r="G52" s="2" t="s">
        <v>59</v>
      </c>
      <c r="H52" s="14">
        <v>0</v>
      </c>
      <c r="I52" s="32"/>
      <c r="J52" s="5" t="s">
        <v>59</v>
      </c>
      <c r="K52" s="2" t="s">
        <v>59</v>
      </c>
      <c r="L52" s="14">
        <v>0</v>
      </c>
      <c r="M52" s="32"/>
      <c r="N52" s="22">
        <v>39617</v>
      </c>
      <c r="O52" s="25">
        <v>39746</v>
      </c>
      <c r="P52" s="14">
        <v>2</v>
      </c>
      <c r="Q52" s="8"/>
    </row>
    <row r="53" spans="1:25">
      <c r="A53" s="65" t="s">
        <v>7</v>
      </c>
      <c r="B53" s="23">
        <v>38540</v>
      </c>
      <c r="C53" s="23">
        <v>38632</v>
      </c>
      <c r="D53" s="14">
        <v>2</v>
      </c>
      <c r="E53" s="32"/>
      <c r="F53" s="5" t="s">
        <v>59</v>
      </c>
      <c r="G53" s="2" t="s">
        <v>59</v>
      </c>
      <c r="H53" s="14">
        <v>0</v>
      </c>
      <c r="I53" s="32"/>
      <c r="J53" s="5" t="s">
        <v>59</v>
      </c>
      <c r="K53" s="2" t="s">
        <v>59</v>
      </c>
      <c r="L53" s="14">
        <v>0</v>
      </c>
      <c r="M53" s="32"/>
      <c r="N53" s="22" t="s">
        <v>13</v>
      </c>
      <c r="O53" s="25" t="s">
        <v>13</v>
      </c>
      <c r="P53" s="14">
        <v>0</v>
      </c>
      <c r="Q53" s="8"/>
    </row>
    <row r="54" spans="1:25">
      <c r="A54" s="65" t="s">
        <v>8</v>
      </c>
      <c r="B54" s="23">
        <v>38513</v>
      </c>
      <c r="C54" s="23">
        <v>38632</v>
      </c>
      <c r="D54" s="14">
        <v>2</v>
      </c>
      <c r="E54" s="32"/>
      <c r="F54" s="5" t="s">
        <v>59</v>
      </c>
      <c r="G54" s="2" t="s">
        <v>59</v>
      </c>
      <c r="H54" s="14">
        <v>2</v>
      </c>
      <c r="I54" s="32"/>
      <c r="J54" s="22">
        <v>39161</v>
      </c>
      <c r="K54" s="25">
        <v>39375</v>
      </c>
      <c r="L54" s="14">
        <v>2</v>
      </c>
      <c r="M54" s="32"/>
      <c r="N54" s="22">
        <v>39526</v>
      </c>
      <c r="O54" s="25">
        <v>39746</v>
      </c>
      <c r="P54" s="14">
        <v>2</v>
      </c>
      <c r="Q54" s="8"/>
    </row>
    <row r="55" spans="1:25">
      <c r="A55" s="65" t="s">
        <v>9</v>
      </c>
      <c r="B55" s="23">
        <v>38527</v>
      </c>
      <c r="C55" s="23">
        <v>38632</v>
      </c>
      <c r="D55" s="14">
        <v>3</v>
      </c>
      <c r="E55" s="32"/>
      <c r="F55" s="22">
        <v>38829</v>
      </c>
      <c r="G55" s="25">
        <v>39010</v>
      </c>
      <c r="H55" s="14">
        <v>3</v>
      </c>
      <c r="I55" s="32"/>
      <c r="J55" s="22">
        <v>39161</v>
      </c>
      <c r="K55" s="25">
        <v>39375</v>
      </c>
      <c r="L55" s="14">
        <v>3</v>
      </c>
      <c r="M55" s="32"/>
      <c r="N55" s="17" t="s">
        <v>13</v>
      </c>
      <c r="O55" s="15" t="s">
        <v>13</v>
      </c>
      <c r="P55" s="14">
        <v>0</v>
      </c>
      <c r="Q55" s="8"/>
    </row>
    <row r="56" spans="1:25">
      <c r="A56" s="65" t="s">
        <v>10</v>
      </c>
      <c r="B56" s="23">
        <v>38513</v>
      </c>
      <c r="C56" s="23">
        <v>38632</v>
      </c>
      <c r="D56" s="14">
        <v>4</v>
      </c>
      <c r="E56" s="32"/>
      <c r="F56" s="5" t="s">
        <v>59</v>
      </c>
      <c r="G56" s="2" t="s">
        <v>59</v>
      </c>
      <c r="H56" s="14">
        <v>4</v>
      </c>
      <c r="I56" s="32"/>
      <c r="J56" s="5" t="s">
        <v>59</v>
      </c>
      <c r="K56" s="2" t="s">
        <v>59</v>
      </c>
      <c r="L56" s="14">
        <v>4</v>
      </c>
      <c r="M56" s="32"/>
      <c r="N56" s="22">
        <v>39526</v>
      </c>
      <c r="O56" s="25">
        <v>39746</v>
      </c>
      <c r="P56" s="14">
        <v>3</v>
      </c>
      <c r="Q56" s="8"/>
    </row>
    <row r="57" spans="1:25">
      <c r="A57" s="65" t="s">
        <v>11</v>
      </c>
      <c r="B57" s="23">
        <v>38513</v>
      </c>
      <c r="C57" s="23">
        <v>38632</v>
      </c>
      <c r="D57" s="14">
        <v>3</v>
      </c>
      <c r="E57" s="32"/>
      <c r="F57" s="22">
        <v>38829</v>
      </c>
      <c r="G57" s="25">
        <v>39010</v>
      </c>
      <c r="H57" s="14">
        <v>3</v>
      </c>
      <c r="I57" s="15"/>
      <c r="J57" s="17" t="s">
        <v>13</v>
      </c>
      <c r="K57" s="13" t="s">
        <v>13</v>
      </c>
      <c r="L57" s="14">
        <v>0</v>
      </c>
      <c r="M57" s="32"/>
      <c r="N57" s="17" t="s">
        <v>13</v>
      </c>
      <c r="O57" s="15" t="s">
        <v>13</v>
      </c>
      <c r="P57" s="14">
        <v>0</v>
      </c>
      <c r="Q57" s="8"/>
    </row>
    <row r="58" spans="1:25">
      <c r="A58" s="65" t="s">
        <v>14</v>
      </c>
      <c r="B58" s="19">
        <v>38520</v>
      </c>
      <c r="C58" s="19">
        <v>38632</v>
      </c>
      <c r="D58" s="14">
        <v>4</v>
      </c>
      <c r="E58" s="32"/>
      <c r="F58" s="22">
        <v>38829</v>
      </c>
      <c r="G58" s="25">
        <v>39010</v>
      </c>
      <c r="H58" s="14">
        <v>2</v>
      </c>
      <c r="I58" s="32"/>
      <c r="J58" s="28">
        <v>39219</v>
      </c>
      <c r="K58" s="31">
        <v>39375</v>
      </c>
      <c r="L58" s="14">
        <v>2</v>
      </c>
      <c r="M58" s="32"/>
      <c r="N58" s="22">
        <v>39526</v>
      </c>
      <c r="O58" s="25">
        <v>39746</v>
      </c>
      <c r="P58" s="14">
        <v>2</v>
      </c>
      <c r="Q58" s="8"/>
    </row>
    <row r="59" spans="1:25">
      <c r="A59" s="65" t="s">
        <v>15</v>
      </c>
      <c r="B59" s="23">
        <v>38527</v>
      </c>
      <c r="C59" s="23">
        <v>38632</v>
      </c>
      <c r="D59" s="14">
        <v>2</v>
      </c>
      <c r="E59" s="32"/>
      <c r="F59" s="5" t="s">
        <v>59</v>
      </c>
      <c r="G59" s="2" t="s">
        <v>59</v>
      </c>
      <c r="H59" s="14">
        <v>2</v>
      </c>
      <c r="I59" s="32"/>
      <c r="J59" s="22">
        <v>39161</v>
      </c>
      <c r="K59" s="19">
        <v>39399</v>
      </c>
      <c r="L59" s="14">
        <v>2</v>
      </c>
      <c r="M59" s="32"/>
      <c r="N59" s="5" t="s">
        <v>13</v>
      </c>
      <c r="O59" s="2" t="s">
        <v>13</v>
      </c>
      <c r="P59" s="3">
        <v>0</v>
      </c>
      <c r="Q59" s="8"/>
    </row>
    <row r="60" spans="1:25">
      <c r="A60" s="65" t="s">
        <v>16</v>
      </c>
      <c r="B60" s="2" t="s">
        <v>13</v>
      </c>
      <c r="C60" s="2" t="s">
        <v>13</v>
      </c>
      <c r="D60" s="3">
        <v>0</v>
      </c>
      <c r="E60" s="32"/>
      <c r="F60" s="22">
        <v>38861</v>
      </c>
      <c r="G60" s="25">
        <v>39010</v>
      </c>
      <c r="H60" s="3">
        <v>2</v>
      </c>
      <c r="I60" s="32"/>
      <c r="J60" s="29">
        <v>39218</v>
      </c>
      <c r="K60" s="30">
        <v>39375</v>
      </c>
      <c r="L60" s="3">
        <v>2</v>
      </c>
      <c r="M60" s="32"/>
      <c r="N60" s="22">
        <v>39525</v>
      </c>
      <c r="O60" s="25">
        <v>39746</v>
      </c>
      <c r="P60" s="3">
        <v>2</v>
      </c>
    </row>
    <row r="61" spans="1:25">
      <c r="A61" s="65" t="s">
        <v>17</v>
      </c>
      <c r="B61" s="2" t="s">
        <v>13</v>
      </c>
      <c r="C61" s="2" t="s">
        <v>13</v>
      </c>
      <c r="D61" s="3">
        <v>0</v>
      </c>
      <c r="F61" s="22">
        <v>38829</v>
      </c>
      <c r="G61" s="25">
        <v>39010</v>
      </c>
      <c r="H61" s="14">
        <v>2</v>
      </c>
      <c r="J61" s="22">
        <v>39189</v>
      </c>
      <c r="K61" s="25">
        <v>39372</v>
      </c>
      <c r="L61" s="14">
        <v>2</v>
      </c>
      <c r="N61" s="22">
        <v>39525</v>
      </c>
      <c r="O61" s="25">
        <v>39746</v>
      </c>
      <c r="P61" s="14">
        <v>2</v>
      </c>
      <c r="Y61">
        <f>1/1000</f>
        <v>1E-3</v>
      </c>
    </row>
    <row r="62" spans="1:25">
      <c r="A62" s="67" t="s">
        <v>55</v>
      </c>
      <c r="B62" s="5" t="s">
        <v>59</v>
      </c>
      <c r="C62" s="2" t="s">
        <v>59</v>
      </c>
      <c r="D62" s="3">
        <v>3</v>
      </c>
      <c r="E62" s="1"/>
      <c r="F62" s="5" t="s">
        <v>59</v>
      </c>
      <c r="G62" s="2" t="s">
        <v>59</v>
      </c>
      <c r="H62" s="3">
        <v>4</v>
      </c>
      <c r="I62" s="1"/>
      <c r="J62" s="22">
        <v>39161</v>
      </c>
      <c r="K62" s="25">
        <v>39371</v>
      </c>
      <c r="L62" s="3">
        <v>4</v>
      </c>
      <c r="M62" s="1"/>
      <c r="N62" s="22">
        <v>39525</v>
      </c>
      <c r="O62" s="25">
        <v>39746</v>
      </c>
      <c r="P62" s="3">
        <v>4</v>
      </c>
    </row>
    <row r="63" spans="1:25">
      <c r="A63" s="67" t="s">
        <v>39</v>
      </c>
      <c r="B63" s="2" t="s">
        <v>13</v>
      </c>
      <c r="C63" s="7" t="s">
        <v>13</v>
      </c>
      <c r="D63" s="3">
        <v>0</v>
      </c>
      <c r="E63" s="1"/>
      <c r="F63" s="5" t="s">
        <v>13</v>
      </c>
      <c r="G63" s="2" t="s">
        <v>13</v>
      </c>
      <c r="H63" s="3">
        <v>0</v>
      </c>
      <c r="I63" s="1"/>
      <c r="J63" s="5" t="s">
        <v>13</v>
      </c>
      <c r="K63" s="2" t="s">
        <v>13</v>
      </c>
      <c r="L63" s="3">
        <v>0</v>
      </c>
      <c r="M63" s="1"/>
      <c r="N63" s="29">
        <v>39625</v>
      </c>
      <c r="O63" s="30">
        <v>39746</v>
      </c>
      <c r="P63" s="3">
        <v>1</v>
      </c>
    </row>
    <row r="64" spans="1:25">
      <c r="A64" s="67" t="s">
        <v>40</v>
      </c>
      <c r="B64" s="2" t="s">
        <v>13</v>
      </c>
      <c r="C64" s="2" t="s">
        <v>13</v>
      </c>
      <c r="D64" s="3">
        <v>0</v>
      </c>
      <c r="F64" s="5" t="s">
        <v>13</v>
      </c>
      <c r="G64" s="2" t="s">
        <v>13</v>
      </c>
      <c r="H64" s="3">
        <v>0</v>
      </c>
      <c r="J64" s="5" t="s">
        <v>13</v>
      </c>
      <c r="K64" s="2" t="s">
        <v>13</v>
      </c>
      <c r="L64" s="3">
        <v>0</v>
      </c>
      <c r="N64" s="29">
        <v>39625</v>
      </c>
      <c r="O64" s="30">
        <v>39746</v>
      </c>
      <c r="P64" s="3">
        <v>1</v>
      </c>
    </row>
    <row r="65" spans="1:16">
      <c r="A65" s="67" t="s">
        <v>41</v>
      </c>
      <c r="B65" s="2" t="s">
        <v>13</v>
      </c>
      <c r="C65" s="7" t="s">
        <v>13</v>
      </c>
      <c r="D65" s="3">
        <v>0</v>
      </c>
      <c r="F65" s="5" t="s">
        <v>13</v>
      </c>
      <c r="G65" s="2" t="s">
        <v>13</v>
      </c>
      <c r="H65" s="3">
        <v>0</v>
      </c>
      <c r="J65" s="5" t="s">
        <v>13</v>
      </c>
      <c r="K65" s="2" t="s">
        <v>13</v>
      </c>
      <c r="L65" s="3">
        <v>0</v>
      </c>
      <c r="N65" s="29">
        <v>39625</v>
      </c>
      <c r="O65" s="30">
        <v>39746</v>
      </c>
      <c r="P65" s="3">
        <v>1</v>
      </c>
    </row>
    <row r="66" spans="1:16">
      <c r="A66" s="67" t="s">
        <v>42</v>
      </c>
      <c r="B66" s="2" t="s">
        <v>13</v>
      </c>
      <c r="C66" s="2" t="s">
        <v>13</v>
      </c>
      <c r="D66" s="3">
        <v>0</v>
      </c>
      <c r="F66" s="5" t="s">
        <v>13</v>
      </c>
      <c r="G66" s="2" t="s">
        <v>13</v>
      </c>
      <c r="H66" s="3">
        <v>0</v>
      </c>
      <c r="J66" s="5" t="s">
        <v>13</v>
      </c>
      <c r="K66" s="2" t="s">
        <v>13</v>
      </c>
      <c r="L66" s="3">
        <v>0</v>
      </c>
      <c r="N66" s="29">
        <v>39625</v>
      </c>
      <c r="O66" s="30">
        <v>39746</v>
      </c>
      <c r="P66" s="3">
        <v>1</v>
      </c>
    </row>
    <row r="67" spans="1:16">
      <c r="A67" s="67" t="s">
        <v>43</v>
      </c>
      <c r="B67" s="2" t="s">
        <v>13</v>
      </c>
      <c r="C67" s="7" t="s">
        <v>13</v>
      </c>
      <c r="D67" s="3">
        <v>0</v>
      </c>
      <c r="F67" s="5" t="s">
        <v>13</v>
      </c>
      <c r="G67" s="2" t="s">
        <v>13</v>
      </c>
      <c r="H67" s="3">
        <v>0</v>
      </c>
      <c r="J67" s="5" t="s">
        <v>13</v>
      </c>
      <c r="K67" s="2" t="s">
        <v>13</v>
      </c>
      <c r="L67" s="3">
        <v>0</v>
      </c>
      <c r="N67" s="29">
        <v>39625</v>
      </c>
      <c r="O67" s="30">
        <v>39746</v>
      </c>
      <c r="P67" s="3">
        <v>1</v>
      </c>
    </row>
    <row r="68" spans="1:16">
      <c r="A68" s="67" t="s">
        <v>44</v>
      </c>
      <c r="B68" s="2" t="s">
        <v>13</v>
      </c>
      <c r="C68" s="2" t="s">
        <v>13</v>
      </c>
      <c r="D68" s="3">
        <v>0</v>
      </c>
      <c r="F68" s="5" t="s">
        <v>13</v>
      </c>
      <c r="G68" s="2" t="s">
        <v>13</v>
      </c>
      <c r="H68" s="3">
        <v>0</v>
      </c>
      <c r="J68" s="5" t="s">
        <v>13</v>
      </c>
      <c r="K68" s="2" t="s">
        <v>13</v>
      </c>
      <c r="L68" s="3">
        <v>0</v>
      </c>
      <c r="N68" s="29">
        <v>39625</v>
      </c>
      <c r="O68" s="30">
        <v>39746</v>
      </c>
      <c r="P68" s="3">
        <v>1</v>
      </c>
    </row>
    <row r="69" spans="1:16">
      <c r="A69" s="67" t="s">
        <v>45</v>
      </c>
      <c r="B69" s="2" t="s">
        <v>13</v>
      </c>
      <c r="C69" s="7" t="s">
        <v>13</v>
      </c>
      <c r="D69" s="3">
        <v>0</v>
      </c>
      <c r="F69" s="5" t="s">
        <v>13</v>
      </c>
      <c r="G69" s="2" t="s">
        <v>13</v>
      </c>
      <c r="H69" s="3">
        <v>0</v>
      </c>
      <c r="J69" s="5" t="s">
        <v>13</v>
      </c>
      <c r="K69" s="2" t="s">
        <v>13</v>
      </c>
      <c r="L69" s="3">
        <v>0</v>
      </c>
      <c r="N69" s="29">
        <v>39625</v>
      </c>
      <c r="O69" s="30">
        <v>39746</v>
      </c>
      <c r="P69" s="3">
        <v>1</v>
      </c>
    </row>
    <row r="70" spans="1:16">
      <c r="A70" s="67" t="s">
        <v>46</v>
      </c>
      <c r="B70" s="2" t="s">
        <v>13</v>
      </c>
      <c r="C70" s="2" t="s">
        <v>13</v>
      </c>
      <c r="D70" s="3">
        <v>0</v>
      </c>
      <c r="F70" s="5" t="s">
        <v>13</v>
      </c>
      <c r="G70" s="2" t="s">
        <v>13</v>
      </c>
      <c r="H70" s="3">
        <v>0</v>
      </c>
      <c r="J70" s="5" t="s">
        <v>13</v>
      </c>
      <c r="K70" s="2" t="s">
        <v>13</v>
      </c>
      <c r="L70" s="3">
        <v>0</v>
      </c>
      <c r="N70" s="29">
        <v>39625</v>
      </c>
      <c r="O70" s="30">
        <v>39746</v>
      </c>
      <c r="P70" s="3">
        <v>2</v>
      </c>
    </row>
    <row r="71" spans="1:16">
      <c r="A71" s="67" t="s">
        <v>47</v>
      </c>
      <c r="B71" s="2" t="s">
        <v>13</v>
      </c>
      <c r="C71" s="2" t="s">
        <v>13</v>
      </c>
      <c r="D71" s="3">
        <v>0</v>
      </c>
      <c r="F71" s="5" t="s">
        <v>13</v>
      </c>
      <c r="G71" s="2" t="s">
        <v>13</v>
      </c>
      <c r="H71" s="3">
        <v>0</v>
      </c>
      <c r="J71" s="5" t="s">
        <v>13</v>
      </c>
      <c r="K71" s="2" t="s">
        <v>13</v>
      </c>
      <c r="L71" s="3">
        <v>0</v>
      </c>
      <c r="N71" s="29">
        <v>39625</v>
      </c>
      <c r="O71" s="30">
        <v>39746</v>
      </c>
      <c r="P71" s="3">
        <v>1</v>
      </c>
    </row>
    <row r="72" spans="1:16" ht="15.75" thickBot="1">
      <c r="A72" s="68" t="s">
        <v>57</v>
      </c>
      <c r="B72" s="82" t="s">
        <v>59</v>
      </c>
      <c r="C72" s="27" t="s">
        <v>59</v>
      </c>
      <c r="D72" s="86">
        <v>0</v>
      </c>
      <c r="F72" s="33" t="s">
        <v>59</v>
      </c>
      <c r="G72" s="27" t="s">
        <v>59</v>
      </c>
      <c r="H72" s="86">
        <v>0</v>
      </c>
      <c r="J72" s="33" t="s">
        <v>59</v>
      </c>
      <c r="K72" s="27" t="s">
        <v>59</v>
      </c>
      <c r="L72" s="86">
        <v>0</v>
      </c>
      <c r="N72" s="84">
        <v>39525</v>
      </c>
      <c r="O72" s="85">
        <v>39746</v>
      </c>
      <c r="P72" s="86">
        <v>2</v>
      </c>
    </row>
  </sheetData>
  <mergeCells count="9">
    <mergeCell ref="Q4:U4"/>
    <mergeCell ref="B39:D39"/>
    <mergeCell ref="F39:H39"/>
    <mergeCell ref="J39:L39"/>
    <mergeCell ref="N39:P39"/>
    <mergeCell ref="A2:B2"/>
    <mergeCell ref="B4:F4"/>
    <mergeCell ref="G4:K4"/>
    <mergeCell ref="L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Depth</vt:lpstr>
      <vt:lpstr>EC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Medhurst, Ryan E</dc:creator>
  <cp:lastModifiedBy>Medhurst, Ryan E</cp:lastModifiedBy>
  <dcterms:created xsi:type="dcterms:W3CDTF">2010-05-21T17:43:17Z</dcterms:created>
  <dcterms:modified xsi:type="dcterms:W3CDTF">2010-06-22T22:01:38Z</dcterms:modified>
</cp:coreProperties>
</file>